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dsaero.sharepoint.com/projects/1000/Documents/05.1_MeasEng/350Apps/Engine Config WP/6-Reports/Latest/JLD/"/>
    </mc:Choice>
  </mc:AlternateContent>
  <xr:revisionPtr revIDLastSave="2" documentId="8_{E50F35A3-4B1E-4453-A243-0169FC1BB31F}" xr6:coauthVersionLast="45" xr6:coauthVersionMax="45" xr10:uidLastSave="{B08D9F04-FECD-4F22-82CF-350C34542B08}"/>
  <bookViews>
    <workbookView xWindow="-120" yWindow="-120" windowWidth="29040" windowHeight="15840" tabRatio="964" xr2:uid="{00000000-000D-0000-FFFF-FFFF00000000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5B" sheetId="41" r:id="rId5"/>
    <sheet name="Summary 5B1" sheetId="6" r:id="rId6"/>
    <sheet name="Summary 5B2" sheetId="29" r:id="rId7"/>
    <sheet name="Summary 5B3" sheetId="30" r:id="rId8"/>
    <sheet name="Summary 5B4" sheetId="31" r:id="rId9"/>
    <sheet name="Summary 5B5" sheetId="32" r:id="rId10"/>
    <sheet name="Summary 5B6" sheetId="33" r:id="rId11"/>
    <sheet name="Summary 5B7" sheetId="34" r:id="rId12"/>
    <sheet name="Summary 5B8" sheetId="35" r:id="rId13"/>
    <sheet name="Summary 5B9" sheetId="36" r:id="rId14"/>
    <sheet name="RATINGS QUESTION" sheetId="24" r:id="rId15"/>
    <sheet name="Calculation with N1 Modifier" sheetId="26" state="hidden" r:id="rId16"/>
    <sheet name="Performances B1-B2" sheetId="11" r:id="rId17"/>
    <sheet name="Engine Data Validation" sheetId="27" state="hidden" r:id="rId18"/>
    <sheet name="Sheet1" sheetId="28" state="hidden" r:id="rId19"/>
    <sheet name="enum_list" sheetId="4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41" l="1" a="1"/>
  <c r="I26" i="41" s="1"/>
  <c r="D26" i="41" a="1"/>
  <c r="D26" i="41" s="1"/>
  <c r="D25" i="41" a="1"/>
  <c r="D25" i="41" s="1"/>
  <c r="A25" i="41" a="1"/>
  <c r="A25" i="41" s="1"/>
  <c r="K24" i="41"/>
  <c r="K24" i="41" a="1"/>
  <c r="I24" i="41" a="1"/>
  <c r="I24" i="41" s="1"/>
  <c r="H24" i="41" a="1"/>
  <c r="H24" i="41" s="1"/>
  <c r="G24" i="41" a="1"/>
  <c r="G24" i="41" s="1"/>
  <c r="F24" i="41" a="1"/>
  <c r="F24" i="41" s="1"/>
  <c r="E24" i="41" a="1"/>
  <c r="E24" i="41" s="1"/>
  <c r="D24" i="41" a="1"/>
  <c r="D24" i="41" s="1"/>
  <c r="B24" i="41" a="1"/>
  <c r="B24" i="41" s="1"/>
  <c r="I23" i="41"/>
  <c r="I23" i="41" a="1"/>
  <c r="H49" i="41" a="1"/>
  <c r="H49" i="41" s="1"/>
  <c r="H48" i="41" a="1"/>
  <c r="H48" i="41" s="1"/>
  <c r="H47" i="41" a="1"/>
  <c r="H47" i="41" s="1"/>
  <c r="H46" i="41" a="1"/>
  <c r="H46" i="41" s="1"/>
  <c r="H45" i="41" a="1"/>
  <c r="H45" i="41" s="1"/>
  <c r="H44" i="41" a="1"/>
  <c r="H44" i="41" s="1"/>
  <c r="H43" i="41" a="1"/>
  <c r="H43" i="41" s="1"/>
  <c r="H41" i="41" a="1"/>
  <c r="H41" i="41" s="1"/>
  <c r="H40" i="41" a="1"/>
  <c r="H40" i="41" s="1"/>
  <c r="H39" i="41" a="1"/>
  <c r="H39" i="41" s="1"/>
  <c r="H38" i="41" a="1"/>
  <c r="H38" i="41" s="1"/>
  <c r="H31" i="41" a="1"/>
  <c r="H31" i="41" s="1"/>
  <c r="H30" i="41" a="1"/>
  <c r="H30" i="41" s="1"/>
  <c r="K22" i="41" a="1"/>
  <c r="K22" i="41" s="1"/>
  <c r="I22" i="41" a="1"/>
  <c r="I22" i="41" s="1"/>
  <c r="D22" i="41" a="1"/>
  <c r="D22" i="41" s="1"/>
  <c r="D21" i="41" a="1"/>
  <c r="D21" i="41" s="1"/>
  <c r="A21" i="41" a="1"/>
  <c r="A21" i="41" s="1"/>
  <c r="K20" i="41" a="1"/>
  <c r="K20" i="41" s="1"/>
  <c r="I20" i="41" a="1"/>
  <c r="I20" i="41" s="1"/>
  <c r="H20" i="41" a="1"/>
  <c r="H20" i="41" s="1"/>
  <c r="G20" i="41" a="1"/>
  <c r="G20" i="41" s="1"/>
  <c r="F20" i="41" a="1"/>
  <c r="F20" i="41" s="1"/>
  <c r="E20" i="41" a="1"/>
  <c r="E20" i="41" s="1"/>
  <c r="D20" i="41" a="1"/>
  <c r="D20" i="41" s="1"/>
  <c r="B20" i="41" a="1"/>
  <c r="B20" i="41" s="1"/>
  <c r="K19" i="41" a="1"/>
  <c r="K19" i="41" s="1"/>
  <c r="I19" i="41" a="1"/>
  <c r="I19" i="41" s="1"/>
  <c r="C9" i="41"/>
  <c r="H61" i="41" a="1"/>
  <c r="H61" i="41" s="1"/>
  <c r="H60" i="41" a="1"/>
  <c r="H60" i="41" s="1"/>
  <c r="H42" i="41"/>
  <c r="H37" i="41" a="1"/>
  <c r="H37" i="41" s="1"/>
  <c r="H36" i="41" a="1"/>
  <c r="H36" i="41" s="1"/>
  <c r="H35" i="41"/>
  <c r="H34" i="41"/>
  <c r="H33" i="41"/>
  <c r="H32" i="41"/>
  <c r="H12" i="41"/>
  <c r="C12" i="41"/>
  <c r="H11" i="41"/>
  <c r="C11" i="41"/>
  <c r="C10" i="41"/>
  <c r="H9" i="41"/>
  <c r="H8" i="41"/>
  <c r="C8" i="41"/>
  <c r="H7" i="41"/>
  <c r="C7" i="41"/>
  <c r="H6" i="41"/>
  <c r="C6" i="41"/>
  <c r="S27" i="27" l="1" a="1"/>
  <c r="S27" i="27" s="1"/>
  <c r="AH35" i="27" a="1"/>
  <c r="AH35" i="27" s="1"/>
  <c r="AH34" i="27" a="1"/>
  <c r="AH34" i="27" s="1"/>
  <c r="AH33" i="27" a="1"/>
  <c r="AH33" i="27" s="1"/>
  <c r="AH32" i="27" a="1"/>
  <c r="AH32" i="27" s="1"/>
  <c r="AH31" i="27" a="1"/>
  <c r="AH31" i="27" s="1"/>
  <c r="AH30" i="27" a="1"/>
  <c r="AH30" i="27" s="1"/>
  <c r="AH29" i="27" a="1"/>
  <c r="AH29" i="27" s="1"/>
  <c r="AH28" i="27" a="1"/>
  <c r="AH28" i="27" s="1"/>
  <c r="AH27" i="27" a="1"/>
  <c r="AH27" i="27" s="1"/>
  <c r="AH26" i="27" a="1"/>
  <c r="AH26" i="27" s="1"/>
  <c r="AH25" i="27" a="1"/>
  <c r="AH25" i="27" s="1"/>
  <c r="AH24" i="27" a="1"/>
  <c r="AH24" i="27" s="1"/>
  <c r="AH23" i="27" a="1"/>
  <c r="AH23" i="27" s="1"/>
  <c r="AH22" i="27" a="1"/>
  <c r="AH22" i="27" s="1"/>
  <c r="Y56" i="27" a="1"/>
  <c r="Y56" i="27" s="1"/>
  <c r="Y55" i="27" a="1"/>
  <c r="Y55" i="27" s="1"/>
  <c r="Y54" i="27" a="1"/>
  <c r="Y54" i="27" s="1"/>
  <c r="Y53" i="27" a="1"/>
  <c r="Y53" i="27" s="1"/>
  <c r="Y52" i="27" a="1"/>
  <c r="Y52" i="27" s="1"/>
  <c r="Y51" i="27" a="1"/>
  <c r="Y51" i="27" s="1"/>
  <c r="Y50" i="27" a="1"/>
  <c r="Y50" i="27" s="1"/>
  <c r="Y49" i="27" a="1"/>
  <c r="Y49" i="27" s="1"/>
  <c r="Y48" i="27" a="1"/>
  <c r="Y48" i="27" s="1"/>
  <c r="Y47" i="27" a="1"/>
  <c r="Y47" i="27" s="1"/>
  <c r="Y46" i="27" a="1"/>
  <c r="Y46" i="27" s="1"/>
  <c r="Y45" i="27" a="1"/>
  <c r="Y45" i="27" s="1"/>
  <c r="Y44" i="27" a="1"/>
  <c r="Y44" i="27" s="1"/>
  <c r="Y43" i="27" a="1"/>
  <c r="Y43" i="27" s="1"/>
  <c r="Y41" i="27" a="1"/>
  <c r="Y41" i="27" s="1"/>
  <c r="S56" i="27" a="1"/>
  <c r="S56" i="27" s="1"/>
  <c r="S55" i="27" a="1"/>
  <c r="S55" i="27" s="1"/>
  <c r="S54" i="27" a="1"/>
  <c r="S54" i="27" s="1"/>
  <c r="S53" i="27" a="1"/>
  <c r="S53" i="27" s="1"/>
  <c r="S52" i="27" a="1"/>
  <c r="S52" i="27" s="1"/>
  <c r="S51" i="27" a="1"/>
  <c r="S51" i="27" s="1"/>
  <c r="S50" i="27" a="1"/>
  <c r="S50" i="27" s="1"/>
  <c r="S49" i="27" a="1"/>
  <c r="S49" i="27" s="1"/>
  <c r="S48" i="27" a="1"/>
  <c r="S48" i="27" s="1"/>
  <c r="S47" i="27" a="1"/>
  <c r="S47" i="27" s="1"/>
  <c r="S46" i="27" a="1"/>
  <c r="S46" i="27" s="1"/>
  <c r="S45" i="27" a="1"/>
  <c r="S45" i="27" s="1"/>
  <c r="S44" i="27" a="1"/>
  <c r="S44" i="27" s="1"/>
  <c r="S43" i="27" a="1"/>
  <c r="S43" i="27" s="1"/>
  <c r="S41" i="27" a="1"/>
  <c r="S41" i="27" s="1"/>
  <c r="Y35" i="27" a="1"/>
  <c r="Y35" i="27" s="1"/>
  <c r="Y34" i="27" a="1"/>
  <c r="Y34" i="27" s="1"/>
  <c r="Y33" i="27" a="1"/>
  <c r="Y33" i="27" s="1"/>
  <c r="Y32" i="27" a="1"/>
  <c r="Y32" i="27" s="1"/>
  <c r="Y31" i="27" a="1"/>
  <c r="Y31" i="27" s="1"/>
  <c r="Y30" i="27" a="1"/>
  <c r="Y30" i="27" s="1"/>
  <c r="Y29" i="27" a="1"/>
  <c r="Y29" i="27" s="1"/>
  <c r="Y28" i="27" a="1"/>
  <c r="Y28" i="27" s="1"/>
  <c r="Y27" i="27" a="1"/>
  <c r="Y27" i="27" s="1"/>
  <c r="Y26" i="27" a="1"/>
  <c r="Y26" i="27" s="1"/>
  <c r="Y25" i="27" a="1"/>
  <c r="Y25" i="27" s="1"/>
  <c r="Y24" i="27" a="1"/>
  <c r="Y24" i="27" s="1"/>
  <c r="Y23" i="27" a="1"/>
  <c r="Y23" i="27" s="1"/>
  <c r="Y22" i="27" a="1"/>
  <c r="Y22" i="27" s="1"/>
  <c r="Y20" i="27" a="1"/>
  <c r="Y20" i="27" s="1"/>
  <c r="S35" i="27" a="1"/>
  <c r="S35" i="27" s="1"/>
  <c r="S34" i="27" a="1"/>
  <c r="S34" i="27" s="1"/>
  <c r="S33" i="27" a="1"/>
  <c r="S33" i="27" s="1"/>
  <c r="S32" i="27" a="1"/>
  <c r="S32" i="27" s="1"/>
  <c r="S31" i="27" a="1"/>
  <c r="S31" i="27" s="1"/>
  <c r="S30" i="27" a="1"/>
  <c r="S30" i="27" s="1"/>
  <c r="S29" i="27" a="1"/>
  <c r="S29" i="27" s="1"/>
  <c r="S28" i="27" a="1"/>
  <c r="S28" i="27" s="1"/>
  <c r="S26" i="27" a="1"/>
  <c r="S26" i="27" s="1"/>
  <c r="S25" i="27" a="1"/>
  <c r="S25" i="27" s="1"/>
  <c r="S24" i="27" a="1"/>
  <c r="S24" i="27" s="1"/>
  <c r="S23" i="27" a="1"/>
  <c r="S23" i="27" s="1"/>
  <c r="S22" i="27" a="1"/>
  <c r="S22" i="27" s="1"/>
  <c r="S20" i="27" a="1"/>
  <c r="S20" i="27" s="1"/>
  <c r="J56" i="27" a="1"/>
  <c r="J56" i="27" s="1"/>
  <c r="J55" i="27" a="1"/>
  <c r="J55" i="27" s="1"/>
  <c r="J54" i="27" a="1"/>
  <c r="J54" i="27" s="1"/>
  <c r="J53" i="27" a="1"/>
  <c r="J53" i="27" s="1"/>
  <c r="J52" i="27" a="1"/>
  <c r="J52" i="27" s="1"/>
  <c r="J51" i="27" a="1"/>
  <c r="J51" i="27" s="1"/>
  <c r="J50" i="27" a="1"/>
  <c r="J50" i="27" s="1"/>
  <c r="J49" i="27" a="1"/>
  <c r="J49" i="27" s="1"/>
  <c r="J48" i="27" a="1"/>
  <c r="J48" i="27" s="1"/>
  <c r="J47" i="27" a="1"/>
  <c r="J47" i="27" s="1"/>
  <c r="J46" i="27" a="1"/>
  <c r="J46" i="27" s="1"/>
  <c r="J45" i="27" a="1"/>
  <c r="J45" i="27" s="1"/>
  <c r="J44" i="27" a="1"/>
  <c r="J44" i="27" s="1"/>
  <c r="J43" i="27" a="1"/>
  <c r="J43" i="27" s="1"/>
  <c r="J41" i="27" a="1"/>
  <c r="J41" i="27" s="1"/>
  <c r="D56" i="27" a="1"/>
  <c r="D56" i="27" s="1"/>
  <c r="D55" i="27" a="1"/>
  <c r="D55" i="27" s="1"/>
  <c r="D54" i="27" a="1"/>
  <c r="D54" i="27" s="1"/>
  <c r="D53" i="27" a="1"/>
  <c r="D53" i="27" s="1"/>
  <c r="D52" i="27" a="1"/>
  <c r="D52" i="27" s="1"/>
  <c r="D51" i="27" a="1"/>
  <c r="D51" i="27" s="1"/>
  <c r="D50" i="27" a="1"/>
  <c r="D50" i="27" s="1"/>
  <c r="D49" i="27" a="1"/>
  <c r="D49" i="27" s="1"/>
  <c r="D48" i="27" a="1"/>
  <c r="D48" i="27" s="1"/>
  <c r="D47" i="27" a="1"/>
  <c r="D47" i="27" s="1"/>
  <c r="D46" i="27" a="1"/>
  <c r="D46" i="27" s="1"/>
  <c r="D45" i="27" a="1"/>
  <c r="D45" i="27" s="1"/>
  <c r="D44" i="27" a="1"/>
  <c r="D44" i="27" s="1"/>
  <c r="D43" i="27" a="1"/>
  <c r="D43" i="27" s="1"/>
  <c r="D41" i="27" a="1"/>
  <c r="D41" i="27" s="1"/>
  <c r="J35" i="27" a="1"/>
  <c r="J35" i="27" s="1"/>
  <c r="J34" i="27" a="1"/>
  <c r="J34" i="27" s="1"/>
  <c r="J33" i="27" a="1"/>
  <c r="J33" i="27" s="1"/>
  <c r="J32" i="27" a="1"/>
  <c r="J32" i="27" s="1"/>
  <c r="J31" i="27" a="1"/>
  <c r="J31" i="27" s="1"/>
  <c r="J30" i="27" a="1"/>
  <c r="J30" i="27" s="1"/>
  <c r="J29" i="27" a="1"/>
  <c r="J29" i="27" s="1"/>
  <c r="J28" i="27" a="1"/>
  <c r="J28" i="27" s="1"/>
  <c r="J27" i="27" a="1"/>
  <c r="J27" i="27" s="1"/>
  <c r="J26" i="27" a="1"/>
  <c r="J26" i="27" s="1"/>
  <c r="J25" i="27" a="1"/>
  <c r="J25" i="27" s="1"/>
  <c r="J24" i="27" a="1"/>
  <c r="J24" i="27" s="1"/>
  <c r="J23" i="27" a="1"/>
  <c r="J23" i="27" s="1"/>
  <c r="J22" i="27" a="1"/>
  <c r="J22" i="27" s="1"/>
  <c r="J20" i="27" a="1"/>
  <c r="J20" i="27" s="1"/>
  <c r="AJ35" i="27" a="1"/>
  <c r="AJ35" i="27" s="1"/>
  <c r="AJ34" i="27" a="1"/>
  <c r="AJ34" i="27" s="1"/>
  <c r="AJ33" i="27" a="1"/>
  <c r="AJ33" i="27" s="1"/>
  <c r="AJ32" i="27" a="1"/>
  <c r="AJ32" i="27" s="1"/>
  <c r="AJ31" i="27" a="1"/>
  <c r="AJ31" i="27" s="1"/>
  <c r="AJ30" i="27" a="1"/>
  <c r="AJ30" i="27" s="1"/>
  <c r="AJ29" i="27" a="1"/>
  <c r="AJ29" i="27" s="1"/>
  <c r="AJ28" i="27" a="1"/>
  <c r="AJ28" i="27" s="1"/>
  <c r="AJ27" i="27" a="1"/>
  <c r="AJ27" i="27" s="1"/>
  <c r="AJ26" i="27" a="1"/>
  <c r="AJ26" i="27" s="1"/>
  <c r="AJ25" i="27" a="1"/>
  <c r="AJ25" i="27" s="1"/>
  <c r="AJ24" i="27" a="1"/>
  <c r="AJ24" i="27" s="1"/>
  <c r="AJ23" i="27" a="1"/>
  <c r="AJ23" i="27" s="1"/>
  <c r="AJ22" i="27" a="1"/>
  <c r="AJ22" i="27" s="1"/>
  <c r="Z56" i="27" a="1"/>
  <c r="Z56" i="27" s="1"/>
  <c r="Z55" i="27" a="1"/>
  <c r="Z55" i="27" s="1"/>
  <c r="Z54" i="27" a="1"/>
  <c r="Z54" i="27" s="1"/>
  <c r="Z53" i="27" a="1"/>
  <c r="Z53" i="27" s="1"/>
  <c r="Z52" i="27" a="1"/>
  <c r="Z52" i="27" s="1"/>
  <c r="Z51" i="27" a="1"/>
  <c r="Z51" i="27" s="1"/>
  <c r="Z50" i="27" a="1"/>
  <c r="Z50" i="27" s="1"/>
  <c r="Z49" i="27" a="1"/>
  <c r="Z49" i="27" s="1"/>
  <c r="Z48" i="27" a="1"/>
  <c r="Z48" i="27" s="1"/>
  <c r="Z47" i="27" a="1"/>
  <c r="Z47" i="27" s="1"/>
  <c r="Z46" i="27" a="1"/>
  <c r="Z46" i="27" s="1"/>
  <c r="Z45" i="27" a="1"/>
  <c r="Z45" i="27" s="1"/>
  <c r="Z44" i="27" a="1"/>
  <c r="Z44" i="27" s="1"/>
  <c r="Z43" i="27" a="1"/>
  <c r="Z43" i="27" s="1"/>
  <c r="U56" i="27" a="1"/>
  <c r="U56" i="27" s="1"/>
  <c r="U55" i="27" a="1"/>
  <c r="U55" i="27" s="1"/>
  <c r="U54" i="27" a="1"/>
  <c r="U54" i="27" s="1"/>
  <c r="U53" i="27" a="1"/>
  <c r="U53" i="27" s="1"/>
  <c r="U52" i="27" a="1"/>
  <c r="U52" i="27" s="1"/>
  <c r="U51" i="27" a="1"/>
  <c r="U51" i="27" s="1"/>
  <c r="U50" i="27" a="1"/>
  <c r="U50" i="27" s="1"/>
  <c r="U49" i="27" a="1"/>
  <c r="U49" i="27" s="1"/>
  <c r="U48" i="27" a="1"/>
  <c r="U48" i="27" s="1"/>
  <c r="U47" i="27" a="1"/>
  <c r="U47" i="27" s="1"/>
  <c r="U46" i="27" a="1"/>
  <c r="U46" i="27" s="1"/>
  <c r="U45" i="27" a="1"/>
  <c r="U45" i="27" s="1"/>
  <c r="U44" i="27" a="1"/>
  <c r="U44" i="27" s="1"/>
  <c r="U43" i="27" a="1"/>
  <c r="U43" i="27" s="1"/>
  <c r="Z35" i="27" a="1"/>
  <c r="Z35" i="27" s="1"/>
  <c r="Z34" i="27" a="1"/>
  <c r="Z34" i="27" s="1"/>
  <c r="Z33" i="27" a="1"/>
  <c r="Z33" i="27" s="1"/>
  <c r="Z32" i="27" a="1"/>
  <c r="Z32" i="27" s="1"/>
  <c r="Z31" i="27" a="1"/>
  <c r="Z31" i="27" s="1"/>
  <c r="Z30" i="27" a="1"/>
  <c r="Z30" i="27" s="1"/>
  <c r="Z29" i="27" a="1"/>
  <c r="Z29" i="27" s="1"/>
  <c r="Z28" i="27" a="1"/>
  <c r="Z28" i="27" s="1"/>
  <c r="Z27" i="27" a="1"/>
  <c r="Z27" i="27" s="1"/>
  <c r="Z26" i="27" a="1"/>
  <c r="Z26" i="27" s="1"/>
  <c r="Z25" i="27" a="1"/>
  <c r="Z25" i="27" s="1"/>
  <c r="Z24" i="27" a="1"/>
  <c r="Z24" i="27" s="1"/>
  <c r="Z23" i="27" a="1"/>
  <c r="Z23" i="27" s="1"/>
  <c r="Z22" i="27" a="1"/>
  <c r="Z22" i="27" s="1"/>
  <c r="U35" i="27" a="1"/>
  <c r="U35" i="27" s="1"/>
  <c r="U34" i="27" a="1"/>
  <c r="U34" i="27" s="1"/>
  <c r="U33" i="27" a="1"/>
  <c r="U33" i="27" s="1"/>
  <c r="U32" i="27" a="1"/>
  <c r="U32" i="27" s="1"/>
  <c r="U31" i="27" a="1"/>
  <c r="U31" i="27" s="1"/>
  <c r="U30" i="27" a="1"/>
  <c r="U30" i="27" s="1"/>
  <c r="U29" i="27" a="1"/>
  <c r="U29" i="27" s="1"/>
  <c r="U28" i="27" a="1"/>
  <c r="U28" i="27" s="1"/>
  <c r="U27" i="27" a="1"/>
  <c r="U27" i="27" s="1"/>
  <c r="U26" i="27" a="1"/>
  <c r="U26" i="27" s="1"/>
  <c r="U25" i="27" a="1"/>
  <c r="U25" i="27" s="1"/>
  <c r="U24" i="27" a="1"/>
  <c r="U24" i="27" s="1"/>
  <c r="U23" i="27" a="1"/>
  <c r="U23" i="27" s="1"/>
  <c r="U22" i="27" a="1"/>
  <c r="U22" i="27" s="1"/>
  <c r="K56" i="27" a="1"/>
  <c r="K56" i="27" s="1"/>
  <c r="K55" i="27" a="1"/>
  <c r="K55" i="27" s="1"/>
  <c r="K54" i="27" a="1"/>
  <c r="K54" i="27" s="1"/>
  <c r="K53" i="27" a="1"/>
  <c r="K53" i="27" s="1"/>
  <c r="K52" i="27" a="1"/>
  <c r="K52" i="27" s="1"/>
  <c r="K51" i="27" a="1"/>
  <c r="K51" i="27" s="1"/>
  <c r="K50" i="27" a="1"/>
  <c r="K50" i="27" s="1"/>
  <c r="K49" i="27" a="1"/>
  <c r="K49" i="27" s="1"/>
  <c r="K48" i="27" a="1"/>
  <c r="K48" i="27" s="1"/>
  <c r="K47" i="27" a="1"/>
  <c r="K47" i="27" s="1"/>
  <c r="K46" i="27" a="1"/>
  <c r="K46" i="27" s="1"/>
  <c r="K45" i="27" a="1"/>
  <c r="K45" i="27" s="1"/>
  <c r="K44" i="27" a="1"/>
  <c r="K44" i="27" s="1"/>
  <c r="K43" i="27" a="1"/>
  <c r="K43" i="27" s="1"/>
  <c r="F56" i="27" a="1"/>
  <c r="F56" i="27" s="1"/>
  <c r="F55" i="27" a="1"/>
  <c r="F55" i="27" s="1"/>
  <c r="F54" i="27" a="1"/>
  <c r="F54" i="27" s="1"/>
  <c r="F53" i="27" a="1"/>
  <c r="F53" i="27" s="1"/>
  <c r="F52" i="27" a="1"/>
  <c r="F52" i="27" s="1"/>
  <c r="F51" i="27" a="1"/>
  <c r="F51" i="27" s="1"/>
  <c r="F50" i="27" a="1"/>
  <c r="F50" i="27" s="1"/>
  <c r="F49" i="27" a="1"/>
  <c r="F49" i="27" s="1"/>
  <c r="F48" i="27" a="1"/>
  <c r="F48" i="27" s="1"/>
  <c r="F47" i="27" a="1"/>
  <c r="F47" i="27" s="1"/>
  <c r="F46" i="27" a="1"/>
  <c r="F46" i="27" s="1"/>
  <c r="F45" i="27" a="1"/>
  <c r="F45" i="27" s="1"/>
  <c r="F44" i="27" a="1"/>
  <c r="F44" i="27" s="1"/>
  <c r="F43" i="27" a="1"/>
  <c r="F43" i="27" s="1"/>
  <c r="K35" i="27" a="1"/>
  <c r="K35" i="27" s="1"/>
  <c r="K34" i="27" a="1"/>
  <c r="K34" i="27" s="1"/>
  <c r="K33" i="27" a="1"/>
  <c r="K33" i="27" s="1"/>
  <c r="K32" i="27" a="1"/>
  <c r="K32" i="27" s="1"/>
  <c r="K31" i="27" a="1"/>
  <c r="K31" i="27" s="1"/>
  <c r="K30" i="27" a="1"/>
  <c r="K30" i="27" s="1"/>
  <c r="K29" i="27" a="1"/>
  <c r="K29" i="27" s="1"/>
  <c r="K28" i="27" a="1"/>
  <c r="K28" i="27" s="1"/>
  <c r="K27" i="27" a="1"/>
  <c r="K27" i="27" s="1"/>
  <c r="K26" i="27" a="1"/>
  <c r="K26" i="27" s="1"/>
  <c r="K25" i="27" a="1"/>
  <c r="K25" i="27" s="1"/>
  <c r="K24" i="27" a="1"/>
  <c r="K24" i="27" s="1"/>
  <c r="K23" i="27" a="1"/>
  <c r="K23" i="27" s="1"/>
  <c r="K22" i="27" a="1"/>
  <c r="K22" i="27" s="1"/>
  <c r="F35" i="27" a="1"/>
  <c r="F35" i="27" s="1"/>
  <c r="F34" i="27" a="1"/>
  <c r="F34" i="27" s="1"/>
  <c r="F33" i="27" a="1"/>
  <c r="F33" i="27" s="1"/>
  <c r="F32" i="27" a="1"/>
  <c r="F32" i="27" s="1"/>
  <c r="F31" i="27" a="1"/>
  <c r="F31" i="27" s="1"/>
  <c r="F30" i="27" a="1"/>
  <c r="F30" i="27" s="1"/>
  <c r="F29" i="27" a="1"/>
  <c r="F29" i="27" s="1"/>
  <c r="F28" i="27" a="1"/>
  <c r="F28" i="27" s="1"/>
  <c r="F27" i="27" a="1"/>
  <c r="F27" i="27" s="1"/>
  <c r="F26" i="27" a="1"/>
  <c r="F26" i="27" s="1"/>
  <c r="F25" i="27" a="1"/>
  <c r="F25" i="27" s="1"/>
  <c r="F24" i="27" a="1"/>
  <c r="F24" i="27" s="1"/>
  <c r="F23" i="27" a="1"/>
  <c r="F23" i="27" s="1"/>
  <c r="F22" i="27" a="1"/>
  <c r="F22" i="27" s="1"/>
  <c r="D35" i="27" a="1"/>
  <c r="D35" i="27" s="1"/>
  <c r="D34" i="27" a="1"/>
  <c r="D34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AH20" i="27" a="1"/>
  <c r="AH20" i="27" s="1"/>
  <c r="D20" i="27" a="1"/>
  <c r="D20" i="27" s="1"/>
  <c r="N245" i="11" a="1"/>
  <c r="N245" i="11" s="1"/>
  <c r="L245" i="11" a="1"/>
  <c r="L245" i="11" s="1"/>
  <c r="J245" i="11" a="1"/>
  <c r="J245" i="11" s="1"/>
  <c r="H245" i="11" a="1"/>
  <c r="H245" i="11" s="1"/>
  <c r="N244" i="11" a="1"/>
  <c r="N244" i="11" s="1"/>
  <c r="L244" i="11" a="1"/>
  <c r="L244" i="11" s="1"/>
  <c r="J244" i="11" a="1"/>
  <c r="J244" i="11" s="1"/>
  <c r="H244" i="11" a="1"/>
  <c r="H244" i="11" s="1"/>
  <c r="N242" i="11" a="1"/>
  <c r="N242" i="11" s="1"/>
  <c r="L242" i="11" a="1"/>
  <c r="L242" i="11" s="1"/>
  <c r="J242" i="11" a="1"/>
  <c r="J242" i="11" s="1"/>
  <c r="H242" i="11" a="1"/>
  <c r="H242" i="11" s="1"/>
  <c r="N243" i="11" a="1"/>
  <c r="N243" i="11" s="1"/>
  <c r="L243" i="11" a="1"/>
  <c r="L243" i="11" s="1"/>
  <c r="J243" i="11" a="1"/>
  <c r="J243" i="11" s="1"/>
  <c r="H243" i="11" a="1"/>
  <c r="H243" i="11" s="1"/>
  <c r="N241" i="11" a="1"/>
  <c r="N241" i="11" s="1"/>
  <c r="L241" i="11" a="1"/>
  <c r="L241" i="11" s="1"/>
  <c r="J241" i="11" a="1"/>
  <c r="J241" i="11" s="1"/>
  <c r="H241" i="11" a="1"/>
  <c r="H241" i="11" s="1"/>
  <c r="N240" i="11" a="1"/>
  <c r="N240" i="11" s="1"/>
  <c r="L240" i="11" a="1"/>
  <c r="L240" i="11" s="1"/>
  <c r="J240" i="11" a="1"/>
  <c r="J240" i="11" s="1"/>
  <c r="H240" i="11" a="1"/>
  <c r="H240" i="11" s="1"/>
  <c r="N227" i="11" a="1"/>
  <c r="N227" i="11" s="1"/>
  <c r="L227" i="11" a="1"/>
  <c r="L227" i="11" s="1"/>
  <c r="J227" i="11" a="1"/>
  <c r="J227" i="11" s="1"/>
  <c r="H227" i="11" a="1"/>
  <c r="H227" i="11" s="1"/>
  <c r="N225" i="11" a="1"/>
  <c r="N225" i="11" s="1"/>
  <c r="L225" i="11" a="1"/>
  <c r="L225" i="11" s="1"/>
  <c r="J225" i="11" a="1"/>
  <c r="J225" i="11" s="1"/>
  <c r="H225" i="11" a="1"/>
  <c r="H225" i="11" s="1"/>
  <c r="N221" i="11" a="1"/>
  <c r="N221" i="11" s="1"/>
  <c r="L221" i="11" a="1"/>
  <c r="L221" i="11" s="1"/>
  <c r="J221" i="11" a="1"/>
  <c r="J221" i="11" s="1"/>
  <c r="H221" i="11" a="1"/>
  <c r="H221" i="11" s="1"/>
  <c r="N217" i="11" a="1"/>
  <c r="N217" i="11" s="1"/>
  <c r="L217" i="11" a="1"/>
  <c r="L217" i="11" s="1"/>
  <c r="J217" i="11" a="1"/>
  <c r="J217" i="11" s="1"/>
  <c r="H217" i="11" a="1"/>
  <c r="H217" i="11" s="1"/>
  <c r="N215" i="11" a="1"/>
  <c r="N215" i="11" s="1"/>
  <c r="L215" i="11" a="1"/>
  <c r="L215" i="11" s="1"/>
  <c r="J215" i="11" a="1"/>
  <c r="J215" i="11" s="1"/>
  <c r="H215" i="11" a="1"/>
  <c r="H215" i="11" s="1"/>
  <c r="N213" i="11" a="1"/>
  <c r="N213" i="11" s="1"/>
  <c r="L213" i="11" a="1"/>
  <c r="L213" i="11" s="1"/>
  <c r="J213" i="11" a="1"/>
  <c r="J213" i="11" s="1"/>
  <c r="H213" i="11" a="1"/>
  <c r="H213" i="11" s="1"/>
  <c r="N211" i="11" a="1"/>
  <c r="N211" i="11" s="1"/>
  <c r="L211" i="11" a="1"/>
  <c r="L211" i="11" s="1"/>
  <c r="J211" i="11" a="1"/>
  <c r="J211" i="11" s="1"/>
  <c r="H211" i="11" a="1"/>
  <c r="H211" i="11" s="1"/>
  <c r="N207" i="11" a="1"/>
  <c r="N207" i="11" s="1"/>
  <c r="L207" i="11" a="1"/>
  <c r="L207" i="11" s="1"/>
  <c r="N223" i="11" a="1"/>
  <c r="N223" i="11" s="1"/>
  <c r="L223" i="11" a="1"/>
  <c r="L223" i="11" s="1"/>
  <c r="J223" i="11" a="1"/>
  <c r="J223" i="11" s="1"/>
  <c r="H223" i="11" a="1"/>
  <c r="H223" i="11" s="1"/>
  <c r="N219" i="11" a="1"/>
  <c r="N219" i="11" s="1"/>
  <c r="L219" i="11" a="1"/>
  <c r="L219" i="11" s="1"/>
  <c r="J219" i="11" a="1"/>
  <c r="J219" i="11" s="1"/>
  <c r="H219" i="11" a="1"/>
  <c r="H219" i="11" s="1"/>
  <c r="N201" i="11" a="1"/>
  <c r="N201" i="11" s="1"/>
  <c r="L201" i="11" a="1"/>
  <c r="L201" i="11" s="1"/>
  <c r="J201" i="11" a="1"/>
  <c r="J201" i="11" s="1"/>
  <c r="H201" i="11" a="1"/>
  <c r="H201" i="11" s="1"/>
  <c r="N197" i="11" a="1"/>
  <c r="N197" i="11" s="1"/>
  <c r="L197" i="11" a="1"/>
  <c r="L197" i="11" s="1"/>
  <c r="J197" i="11" a="1"/>
  <c r="J197" i="11" s="1"/>
  <c r="H197" i="11" a="1"/>
  <c r="H197" i="11" s="1"/>
  <c r="N209" i="11" a="1"/>
  <c r="N209" i="11" s="1"/>
  <c r="L209" i="11" a="1"/>
  <c r="L209" i="11" s="1"/>
  <c r="J209" i="11" a="1"/>
  <c r="J209" i="11" s="1"/>
  <c r="H209" i="11" a="1"/>
  <c r="H209" i="11" s="1"/>
  <c r="N205" i="11" a="1"/>
  <c r="N205" i="11" s="1"/>
  <c r="L205" i="11" a="1"/>
  <c r="L205" i="11" s="1"/>
  <c r="J205" i="11" a="1"/>
  <c r="J205" i="11" s="1"/>
  <c r="H205" i="11" a="1"/>
  <c r="H205" i="11" s="1"/>
  <c r="N195" i="11" a="1"/>
  <c r="N195" i="11" s="1"/>
  <c r="L195" i="11" a="1"/>
  <c r="L195" i="11" s="1"/>
  <c r="J195" i="11" a="1"/>
  <c r="J195" i="11" s="1"/>
  <c r="H195" i="11" a="1"/>
  <c r="H195" i="11" s="1"/>
  <c r="N193" i="11" a="1"/>
  <c r="N193" i="11" s="1"/>
  <c r="L193" i="11" a="1"/>
  <c r="L193" i="11" s="1"/>
  <c r="J193" i="11" a="1"/>
  <c r="J193" i="11" s="1"/>
  <c r="H193" i="11" a="1"/>
  <c r="H193" i="11" s="1"/>
  <c r="N203" i="11" a="1"/>
  <c r="N203" i="11" s="1"/>
  <c r="L203" i="11" a="1"/>
  <c r="L203" i="11" s="1"/>
  <c r="J203" i="11" a="1"/>
  <c r="J203" i="11" s="1"/>
  <c r="H203" i="11" a="1"/>
  <c r="H203" i="11" s="1"/>
  <c r="N191" i="11" a="1"/>
  <c r="N191" i="11" s="1"/>
  <c r="L191" i="11" a="1"/>
  <c r="L191" i="11" s="1"/>
  <c r="J191" i="11" a="1"/>
  <c r="J191" i="11" s="1"/>
  <c r="H191" i="11" a="1"/>
  <c r="H191" i="11" s="1"/>
  <c r="N189" i="11" a="1"/>
  <c r="N189" i="11" s="1"/>
  <c r="L189" i="11" a="1"/>
  <c r="L189" i="11" s="1"/>
  <c r="J189" i="11" a="1"/>
  <c r="J189" i="11" s="1"/>
  <c r="H189" i="11" a="1"/>
  <c r="H189" i="11" s="1"/>
  <c r="N187" i="11" a="1"/>
  <c r="N187" i="11" s="1"/>
  <c r="L187" i="11" a="1"/>
  <c r="L187" i="11" s="1"/>
  <c r="J187" i="11" a="1"/>
  <c r="J187" i="11" s="1"/>
  <c r="H187" i="11" a="1"/>
  <c r="H187" i="11" s="1"/>
  <c r="N185" i="11" a="1"/>
  <c r="N185" i="11" s="1"/>
  <c r="L185" i="11" a="1"/>
  <c r="L185" i="11" s="1"/>
  <c r="J185" i="11" a="1"/>
  <c r="J185" i="11" s="1"/>
  <c r="H185" i="11" a="1"/>
  <c r="H185" i="11" s="1"/>
  <c r="N183" i="11" a="1"/>
  <c r="N183" i="11" s="1"/>
  <c r="L183" i="11" a="1"/>
  <c r="L183" i="11" s="1"/>
  <c r="J183" i="11" a="1"/>
  <c r="J183" i="11" s="1"/>
  <c r="H183" i="11" a="1"/>
  <c r="H183" i="11" s="1"/>
  <c r="N226" i="11" a="1"/>
  <c r="N226" i="11" s="1"/>
  <c r="L226" i="11" a="1"/>
  <c r="L226" i="11" s="1"/>
  <c r="J226" i="11" a="1"/>
  <c r="J226" i="11" s="1"/>
  <c r="H226" i="11" a="1"/>
  <c r="H226" i="11" s="1"/>
  <c r="N224" i="11" a="1"/>
  <c r="N224" i="11" s="1"/>
  <c r="L224" i="11" a="1"/>
  <c r="L224" i="11" s="1"/>
  <c r="J224" i="11" a="1"/>
  <c r="J224" i="11" s="1"/>
  <c r="H224" i="11" a="1"/>
  <c r="H224" i="11" s="1"/>
  <c r="N222" i="11" a="1"/>
  <c r="N222" i="11" s="1"/>
  <c r="L222" i="11" a="1"/>
  <c r="L222" i="11" s="1"/>
  <c r="J222" i="11" a="1"/>
  <c r="J222" i="11" s="1"/>
  <c r="H222" i="11" a="1"/>
  <c r="H222" i="11" s="1"/>
  <c r="N220" i="11" a="1"/>
  <c r="N220" i="11" s="1"/>
  <c r="L220" i="11" a="1"/>
  <c r="L220" i="11" s="1"/>
  <c r="J220" i="11" a="1"/>
  <c r="J220" i="11" s="1"/>
  <c r="H220" i="11" a="1"/>
  <c r="H220" i="11" s="1"/>
  <c r="N218" i="11" a="1"/>
  <c r="N218" i="11" s="1"/>
  <c r="L218" i="11" a="1"/>
  <c r="L218" i="11" s="1"/>
  <c r="J218" i="11" a="1"/>
  <c r="J218" i="11" s="1"/>
  <c r="H218" i="11" a="1"/>
  <c r="H218" i="11" s="1"/>
  <c r="N216" i="11" a="1"/>
  <c r="N216" i="11" s="1"/>
  <c r="L216" i="11" a="1"/>
  <c r="L216" i="11" s="1"/>
  <c r="J216" i="11" a="1"/>
  <c r="J216" i="11" s="1"/>
  <c r="H216" i="11" a="1"/>
  <c r="H216" i="11" s="1"/>
  <c r="N214" i="11" a="1"/>
  <c r="N214" i="11" s="1"/>
  <c r="L214" i="11" a="1"/>
  <c r="L214" i="11" s="1"/>
  <c r="J214" i="11" a="1"/>
  <c r="J214" i="11" s="1"/>
  <c r="H214" i="11" a="1"/>
  <c r="H214" i="11" s="1"/>
  <c r="N212" i="11" a="1"/>
  <c r="N212" i="11" s="1"/>
  <c r="L212" i="11" a="1"/>
  <c r="L212" i="11" s="1"/>
  <c r="J212" i="11" a="1"/>
  <c r="J212" i="11" s="1"/>
  <c r="H212" i="11" a="1"/>
  <c r="H212" i="11" s="1"/>
  <c r="N210" i="11" a="1"/>
  <c r="N210" i="11" s="1"/>
  <c r="L210" i="11" a="1"/>
  <c r="L210" i="11" s="1"/>
  <c r="J210" i="11" a="1"/>
  <c r="J210" i="11" s="1"/>
  <c r="H210" i="11" a="1"/>
  <c r="H210" i="11" s="1"/>
  <c r="N208" i="11" a="1"/>
  <c r="N208" i="11" s="1"/>
  <c r="L208" i="11" a="1"/>
  <c r="L208" i="11" s="1"/>
  <c r="J208" i="11" a="1"/>
  <c r="J208" i="11" s="1"/>
  <c r="H208" i="11" a="1"/>
  <c r="H208" i="11" s="1"/>
  <c r="N206" i="11" a="1"/>
  <c r="N206" i="11" s="1"/>
  <c r="L206" i="11" a="1"/>
  <c r="L206" i="11" s="1"/>
  <c r="N204" i="11" a="1"/>
  <c r="N204" i="11" s="1"/>
  <c r="L204" i="11" a="1"/>
  <c r="L204" i="11" s="1"/>
  <c r="J204" i="11" a="1"/>
  <c r="J204" i="11" s="1"/>
  <c r="H204" i="11" a="1"/>
  <c r="H204" i="11" s="1"/>
  <c r="N202" i="11" a="1"/>
  <c r="N202" i="11" s="1"/>
  <c r="L202" i="11" a="1"/>
  <c r="L202" i="11" s="1"/>
  <c r="J202" i="11" a="1"/>
  <c r="J202" i="11" s="1"/>
  <c r="H202" i="11" a="1"/>
  <c r="H202" i="11" s="1"/>
  <c r="N200" i="11" a="1"/>
  <c r="N200" i="11" s="1"/>
  <c r="L200" i="11" a="1"/>
  <c r="L200" i="11" s="1"/>
  <c r="J200" i="11" a="1"/>
  <c r="J200" i="11" s="1"/>
  <c r="H200" i="11" a="1"/>
  <c r="H200" i="11" s="1"/>
  <c r="N196" i="11" a="1"/>
  <c r="N196" i="11" s="1"/>
  <c r="L196" i="11" a="1"/>
  <c r="L196" i="11" s="1"/>
  <c r="J196" i="11" a="1"/>
  <c r="J196" i="11" s="1"/>
  <c r="H196" i="11" a="1"/>
  <c r="H196" i="11" s="1"/>
  <c r="N194" i="11" a="1"/>
  <c r="N194" i="11" s="1"/>
  <c r="L194" i="11" a="1"/>
  <c r="L194" i="11" s="1"/>
  <c r="J194" i="11" a="1"/>
  <c r="J194" i="11" s="1"/>
  <c r="H194" i="11" a="1"/>
  <c r="H194" i="11" s="1"/>
  <c r="N192" i="11" a="1"/>
  <c r="N192" i="11" s="1"/>
  <c r="L192" i="11" a="1"/>
  <c r="L192" i="11" s="1"/>
  <c r="J192" i="11" a="1"/>
  <c r="J192" i="11" s="1"/>
  <c r="H192" i="11" a="1"/>
  <c r="H192" i="11" s="1"/>
  <c r="N190" i="11" a="1"/>
  <c r="N190" i="11" s="1"/>
  <c r="L190" i="11" a="1"/>
  <c r="L190" i="11" s="1"/>
  <c r="J190" i="11" a="1"/>
  <c r="J190" i="11" s="1"/>
  <c r="H190" i="11" a="1"/>
  <c r="H190" i="11" s="1"/>
  <c r="N188" i="11" a="1"/>
  <c r="N188" i="11" s="1"/>
  <c r="L188" i="11" a="1"/>
  <c r="L188" i="11" s="1"/>
  <c r="J188" i="11" a="1"/>
  <c r="J188" i="11" s="1"/>
  <c r="H188" i="11" a="1"/>
  <c r="H188" i="11" s="1"/>
  <c r="N186" i="11" a="1"/>
  <c r="N186" i="11" s="1"/>
  <c r="L186" i="11" a="1"/>
  <c r="L186" i="11" s="1"/>
  <c r="J186" i="11" a="1"/>
  <c r="J186" i="11" s="1"/>
  <c r="H186" i="11" a="1"/>
  <c r="H186" i="11" s="1"/>
  <c r="N184" i="11" a="1"/>
  <c r="N184" i="11" s="1"/>
  <c r="L184" i="11" a="1"/>
  <c r="L184" i="11" s="1"/>
  <c r="J184" i="11" a="1"/>
  <c r="J184" i="11" s="1"/>
  <c r="H184" i="11" a="1"/>
  <c r="H184" i="11" s="1"/>
  <c r="N182" i="11" a="1"/>
  <c r="N182" i="11" s="1"/>
  <c r="L182" i="11" a="1"/>
  <c r="L182" i="11" s="1"/>
  <c r="J182" i="11" a="1"/>
  <c r="J182" i="11" s="1"/>
  <c r="H182" i="11" a="1"/>
  <c r="H182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68" i="11" a="1"/>
  <c r="N168" i="11" s="1"/>
  <c r="L168" i="11" a="1"/>
  <c r="L168" i="11" s="1"/>
  <c r="J168" i="11" a="1"/>
  <c r="J168" i="11" s="1"/>
  <c r="H168" i="11" a="1"/>
  <c r="H168" i="11" s="1"/>
  <c r="N167" i="11" a="1"/>
  <c r="N167" i="11" s="1"/>
  <c r="L167" i="11" a="1"/>
  <c r="L167" i="11" s="1"/>
  <c r="J167" i="11" a="1"/>
  <c r="J167" i="11" s="1"/>
  <c r="H167" i="11" a="1"/>
  <c r="H167" i="11" s="1"/>
  <c r="N166" i="11" a="1"/>
  <c r="N166" i="11" s="1"/>
  <c r="L166" i="11" a="1"/>
  <c r="L166" i="11" s="1"/>
  <c r="J166" i="11" a="1"/>
  <c r="J166" i="11" s="1"/>
  <c r="H166" i="11" a="1"/>
  <c r="H166" i="11" s="1"/>
  <c r="N165" i="11" a="1"/>
  <c r="N165" i="11" s="1"/>
  <c r="L165" i="11" a="1"/>
  <c r="L165" i="11" s="1"/>
  <c r="J165" i="11" a="1"/>
  <c r="J165" i="11" s="1"/>
  <c r="H165" i="11" a="1"/>
  <c r="H165" i="11" s="1"/>
  <c r="L160" i="11" a="1"/>
  <c r="L160" i="11" s="1"/>
  <c r="J160" i="11" a="1"/>
  <c r="J160" i="11" s="1"/>
  <c r="N160" i="11" a="1"/>
  <c r="N160" i="11" s="1"/>
  <c r="H160" i="11" a="1"/>
  <c r="H160" i="11" s="1"/>
  <c r="N159" i="11" a="1"/>
  <c r="N159" i="11" s="1"/>
  <c r="L159" i="11" a="1"/>
  <c r="L159" i="11" s="1"/>
  <c r="J159" i="11" a="1"/>
  <c r="J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5" i="11" a="1"/>
  <c r="N155" i="11" s="1"/>
  <c r="L155" i="11" a="1"/>
  <c r="L155" i="11" s="1"/>
  <c r="J155" i="11" a="1"/>
  <c r="J155" i="11" s="1"/>
  <c r="H155" i="11" a="1"/>
  <c r="H155" i="11" s="1"/>
  <c r="N153" i="11" a="1"/>
  <c r="N153" i="11" s="1"/>
  <c r="L153" i="11" a="1"/>
  <c r="L153" i="11" s="1"/>
  <c r="N152" i="11" a="1"/>
  <c r="N152" i="11" s="1"/>
  <c r="L152" i="11" a="1"/>
  <c r="L152" i="11" s="1"/>
  <c r="J152" i="11" a="1"/>
  <c r="J152" i="11" s="1"/>
  <c r="H152" i="11" a="1"/>
  <c r="H152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7" i="11" a="1"/>
  <c r="N147" i="11" s="1"/>
  <c r="L147" i="11" a="1"/>
  <c r="L147" i="11" s="1"/>
  <c r="J147" i="11" a="1"/>
  <c r="J147" i="11" s="1"/>
  <c r="H147" i="11" a="1"/>
  <c r="H147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J144" i="11" a="1"/>
  <c r="J144" i="11" s="1"/>
  <c r="H144" i="11" a="1"/>
  <c r="H144" i="11" s="1"/>
  <c r="N143" i="11" a="1"/>
  <c r="N143" i="11" s="1"/>
  <c r="L143" i="11" a="1"/>
  <c r="L143" i="11" s="1"/>
  <c r="J143" i="11" a="1"/>
  <c r="J143" i="11" s="1"/>
  <c r="H143" i="11" a="1"/>
  <c r="H143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6" i="11" a="1"/>
  <c r="N136" i="11" s="1"/>
  <c r="L136" i="11" a="1"/>
  <c r="L136" i="11" s="1"/>
  <c r="J136" i="11" a="1"/>
  <c r="J136" i="11" s="1"/>
  <c r="H136" i="11" a="1"/>
  <c r="H136" i="11" s="1"/>
  <c r="N135" i="11" a="1"/>
  <c r="N135" i="11" s="1"/>
  <c r="L135" i="11" a="1"/>
  <c r="L135" i="11" s="1"/>
  <c r="J135" i="11" a="1"/>
  <c r="J135" i="11" s="1"/>
  <c r="H135" i="11" a="1"/>
  <c r="H135" i="11" s="1"/>
  <c r="N133" i="11" a="1"/>
  <c r="N133" i="11" s="1"/>
  <c r="L133" i="11" a="1"/>
  <c r="L133" i="11" s="1"/>
  <c r="J133" i="11" a="1"/>
  <c r="J133" i="11" s="1"/>
  <c r="H133" i="11" a="1"/>
  <c r="H133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30" i="11" a="1"/>
  <c r="N130" i="11" s="1"/>
  <c r="L130" i="11" a="1"/>
  <c r="L130" i="11" s="1"/>
  <c r="J130" i="11" a="1"/>
  <c r="J130" i="11" s="1"/>
  <c r="H130" i="11" a="1"/>
  <c r="H130" i="11" s="1"/>
  <c r="N129" i="11" a="1"/>
  <c r="N129" i="11" s="1"/>
  <c r="L129" i="11" a="1"/>
  <c r="L129" i="11" s="1"/>
  <c r="J129" i="11" a="1"/>
  <c r="J129" i="11" s="1"/>
  <c r="H129" i="11" a="1"/>
  <c r="H129" i="11" s="1"/>
  <c r="N128" i="11" a="1"/>
  <c r="N128" i="11" s="1"/>
  <c r="L128" i="11" a="1"/>
  <c r="L128" i="11" s="1"/>
  <c r="J128" i="11" a="1"/>
  <c r="J128" i="11" s="1"/>
  <c r="H128" i="11" a="1"/>
  <c r="H128" i="11" s="1"/>
  <c r="N127" i="11" a="1"/>
  <c r="N127" i="11" s="1"/>
  <c r="L127" i="11" a="1"/>
  <c r="L127" i="11" s="1"/>
  <c r="J127" i="11" a="1"/>
  <c r="J127" i="11" s="1"/>
  <c r="H127" i="11" a="1"/>
  <c r="H127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4" i="11" a="1"/>
  <c r="N124" i="11" s="1"/>
  <c r="L124" i="11" a="1"/>
  <c r="L124" i="11" s="1"/>
  <c r="J124" i="11" a="1"/>
  <c r="J124" i="11" s="1"/>
  <c r="H124" i="11" a="1"/>
  <c r="H124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1" i="11" a="1"/>
  <c r="N121" i="11" s="1"/>
  <c r="L121" i="11" a="1"/>
  <c r="L121" i="11" s="1"/>
  <c r="J121" i="11" a="1"/>
  <c r="J121" i="11" s="1"/>
  <c r="H121" i="11" a="1"/>
  <c r="H121" i="11" s="1"/>
  <c r="N107" i="11" a="1"/>
  <c r="N107" i="11" s="1"/>
  <c r="L107" i="11" a="1"/>
  <c r="L107" i="11" s="1"/>
  <c r="J107" i="11" a="1"/>
  <c r="J107" i="11" s="1"/>
  <c r="H107" i="11" a="1"/>
  <c r="H107" i="11" s="1"/>
  <c r="N106" i="11" a="1"/>
  <c r="N106" i="11" s="1"/>
  <c r="L106" i="11" a="1"/>
  <c r="L106" i="11" s="1"/>
  <c r="J106" i="11" a="1"/>
  <c r="J106" i="11" s="1"/>
  <c r="H106" i="11" a="1"/>
  <c r="H106" i="11" s="1"/>
  <c r="N105" i="11" a="1"/>
  <c r="N105" i="11" s="1"/>
  <c r="L105" i="11" a="1"/>
  <c r="L105" i="11" s="1"/>
  <c r="J105" i="11" a="1"/>
  <c r="J105" i="11" s="1"/>
  <c r="H105" i="11" a="1"/>
  <c r="H105" i="11" s="1"/>
  <c r="N104" i="11" a="1"/>
  <c r="N104" i="11" s="1"/>
  <c r="L104" i="11" a="1"/>
  <c r="L104" i="11" s="1"/>
  <c r="J104" i="11" a="1"/>
  <c r="J104" i="11" s="1"/>
  <c r="H104" i="11" a="1"/>
  <c r="H104" i="11" s="1"/>
  <c r="N103" i="11" a="1"/>
  <c r="N103" i="11" s="1"/>
  <c r="L103" i="11" a="1"/>
  <c r="L103" i="11" s="1"/>
  <c r="J103" i="11" a="1"/>
  <c r="J103" i="11" s="1"/>
  <c r="H103" i="11" a="1"/>
  <c r="H103" i="11" s="1"/>
  <c r="N102" i="11" a="1"/>
  <c r="N102" i="11" s="1"/>
  <c r="L102" i="11" a="1"/>
  <c r="L102" i="11" s="1"/>
  <c r="J102" i="11" a="1"/>
  <c r="J102" i="11" s="1"/>
  <c r="H102" i="11" a="1"/>
  <c r="H102" i="11" s="1"/>
  <c r="N101" i="11" a="1"/>
  <c r="N101" i="11" s="1"/>
  <c r="L101" i="11" a="1"/>
  <c r="L101" i="11" s="1"/>
  <c r="J101" i="11" a="1"/>
  <c r="J101" i="11" s="1"/>
  <c r="H101" i="11" a="1"/>
  <c r="H101" i="11" s="1"/>
  <c r="H100" i="11" a="1"/>
  <c r="H100" i="11" s="1"/>
  <c r="N100" i="11" a="1"/>
  <c r="N100" i="11" s="1"/>
  <c r="L100" i="11" a="1"/>
  <c r="L100" i="11" s="1"/>
  <c r="J100" i="11" a="1"/>
  <c r="J100" i="11" s="1"/>
  <c r="N99" i="11" a="1"/>
  <c r="N99" i="11" s="1"/>
  <c r="L99" i="11" a="1"/>
  <c r="L99" i="11" s="1"/>
  <c r="J99" i="11" a="1"/>
  <c r="J99" i="11" s="1"/>
  <c r="H99" i="11" a="1"/>
  <c r="H99" i="11" s="1"/>
  <c r="N98" i="11" a="1"/>
  <c r="N98" i="11" s="1"/>
  <c r="L98" i="11" a="1"/>
  <c r="L98" i="11" s="1"/>
  <c r="N97" i="11" a="1"/>
  <c r="N97" i="11" s="1"/>
  <c r="L97" i="11" a="1"/>
  <c r="L97" i="11" s="1"/>
  <c r="J97" i="11" a="1"/>
  <c r="J97" i="11" s="1"/>
  <c r="H97" i="11" a="1"/>
  <c r="H97" i="11" s="1"/>
  <c r="N95" i="11" a="1"/>
  <c r="N95" i="11" s="1"/>
  <c r="L95" i="11" a="1"/>
  <c r="L95" i="11" s="1"/>
  <c r="J95" i="11" a="1"/>
  <c r="J95" i="11" s="1"/>
  <c r="H95" i="11" a="1"/>
  <c r="H95" i="11" s="1"/>
  <c r="H96" i="11" a="1"/>
  <c r="H96" i="11" s="1"/>
  <c r="N96" i="11" a="1"/>
  <c r="N96" i="11" s="1"/>
  <c r="L96" i="11" a="1"/>
  <c r="L96" i="11" s="1"/>
  <c r="J96" i="11" a="1"/>
  <c r="J96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L89" i="11" a="1"/>
  <c r="L89" i="11" s="1"/>
  <c r="N89" i="11" a="1"/>
  <c r="N89" i="11" s="1"/>
  <c r="N88" i="11" a="1"/>
  <c r="N88" i="11" s="1"/>
  <c r="L88" i="11" a="1"/>
  <c r="L88" i="11" s="1"/>
  <c r="N87" i="11" a="1"/>
  <c r="N87" i="11" s="1"/>
  <c r="L87" i="11" a="1"/>
  <c r="L87" i="11" s="1"/>
  <c r="N86" i="11" a="1"/>
  <c r="N86" i="11" s="1"/>
  <c r="L86" i="11" a="1"/>
  <c r="L86" i="11" s="1"/>
  <c r="N85" i="11" a="1"/>
  <c r="N85" i="11" s="1"/>
  <c r="L85" i="11" a="1"/>
  <c r="L85" i="11" s="1"/>
  <c r="N81" i="11" a="1"/>
  <c r="N81" i="11" s="1"/>
  <c r="L81" i="11" a="1"/>
  <c r="L81" i="11" s="1"/>
  <c r="N80" i="11" a="1"/>
  <c r="N80" i="11" s="1"/>
  <c r="L80" i="11" a="1"/>
  <c r="L80" i="11" s="1"/>
  <c r="N79" i="11" a="1"/>
  <c r="N79" i="11" s="1"/>
  <c r="L79" i="11" a="1"/>
  <c r="L79" i="11" s="1"/>
  <c r="M39" i="11"/>
  <c r="M37" i="11" a="1"/>
  <c r="M37" i="11" s="1"/>
  <c r="N34" i="11" a="1"/>
  <c r="N34" i="11" s="1"/>
  <c r="N33" i="11" a="1"/>
  <c r="N33" i="11" s="1"/>
  <c r="L32" i="11" a="1"/>
  <c r="L32" i="11" s="1"/>
  <c r="M45" i="11" a="1"/>
  <c r="M45" i="11" s="1"/>
  <c r="H37" i="6" a="1"/>
  <c r="H37" i="6" s="1"/>
  <c r="M44" i="11" a="1"/>
  <c r="M44" i="11" s="1"/>
  <c r="M43" i="11" a="1"/>
  <c r="M43" i="11" s="1"/>
  <c r="L34" i="11" a="1"/>
  <c r="L34" i="11" s="1"/>
  <c r="N32" i="11" a="1"/>
  <c r="N32" i="11" s="1"/>
  <c r="L28" i="11" a="1"/>
  <c r="L28" i="11" s="1"/>
  <c r="N28" i="11" a="1"/>
  <c r="N28" i="11" s="1"/>
  <c r="N27" i="11" a="1"/>
  <c r="N27" i="11" s="1"/>
  <c r="L27" i="11" a="1"/>
  <c r="L27" i="11" s="1"/>
  <c r="N26" i="11" a="1"/>
  <c r="N26" i="11" s="1"/>
  <c r="L26" i="11" a="1"/>
  <c r="L26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L20" i="11" a="1"/>
  <c r="L20" i="11" s="1"/>
  <c r="L16" i="11" a="1"/>
  <c r="L16" i="11" s="1"/>
  <c r="N20" i="11" a="1"/>
  <c r="N20" i="11" s="1"/>
  <c r="J20" i="11" a="1"/>
  <c r="J20" i="11" s="1"/>
  <c r="H20" i="11" a="1"/>
  <c r="H20" i="11" s="1"/>
  <c r="N236" i="11" l="1" a="1"/>
  <c r="N236" i="11" s="1"/>
  <c r="N199" i="11" a="1"/>
  <c r="N199" i="11" s="1"/>
  <c r="N198" i="11" a="1"/>
  <c r="N198" i="11" s="1"/>
  <c r="N176" i="11" a="1"/>
  <c r="N176" i="11" s="1"/>
  <c r="N154" i="11" a="1"/>
  <c r="N154" i="11" s="1"/>
  <c r="N149" i="11" a="1"/>
  <c r="N149" i="11" s="1"/>
  <c r="N148" i="11" a="1"/>
  <c r="N148" i="11" s="1"/>
  <c r="N134" i="11" a="1"/>
  <c r="N134" i="11" s="1"/>
  <c r="N117" i="11" a="1"/>
  <c r="N117" i="11" s="1"/>
  <c r="N75" i="11" a="1"/>
  <c r="N75" i="11" s="1"/>
  <c r="N74" i="11" a="1"/>
  <c r="N74" i="11" s="1"/>
  <c r="N73" i="11" a="1"/>
  <c r="N73" i="11" s="1"/>
  <c r="N16" i="11" a="1"/>
  <c r="N16" i="11" s="1"/>
  <c r="L236" i="11" a="1"/>
  <c r="L236" i="11" s="1"/>
  <c r="L199" i="11" a="1"/>
  <c r="L199" i="11" s="1"/>
  <c r="L198" i="11" a="1"/>
  <c r="L198" i="11" s="1"/>
  <c r="L176" i="11" a="1"/>
  <c r="L176" i="11" s="1"/>
  <c r="L154" i="11" a="1"/>
  <c r="L154" i="11" s="1"/>
  <c r="L149" i="11" a="1"/>
  <c r="L149" i="11" s="1"/>
  <c r="L148" i="11" a="1"/>
  <c r="L148" i="11" s="1"/>
  <c r="L134" i="11" a="1"/>
  <c r="L134" i="11" s="1"/>
  <c r="L117" i="11" a="1"/>
  <c r="L117" i="11" s="1"/>
  <c r="L75" i="11" a="1"/>
  <c r="L75" i="11" s="1"/>
  <c r="L74" i="11" a="1"/>
  <c r="L74" i="11" s="1"/>
  <c r="L73" i="11" a="1"/>
  <c r="L73" i="11" s="1"/>
  <c r="J199" i="11" a="1"/>
  <c r="J199" i="11" s="1"/>
  <c r="J198" i="11" a="1"/>
  <c r="J198" i="11" s="1"/>
  <c r="J154" i="11" a="1"/>
  <c r="J154" i="11" s="1"/>
  <c r="J149" i="11" a="1"/>
  <c r="J149" i="11" s="1"/>
  <c r="J148" i="11" a="1"/>
  <c r="J148" i="11" s="1"/>
  <c r="J134" i="11" a="1"/>
  <c r="J134" i="11" s="1"/>
  <c r="J75" i="11" a="1"/>
  <c r="J75" i="11" s="1"/>
  <c r="J74" i="11" a="1"/>
  <c r="J74" i="11" s="1"/>
  <c r="H199" i="11" a="1"/>
  <c r="H199" i="11" s="1"/>
  <c r="H198" i="11" a="1"/>
  <c r="H198" i="11" s="1"/>
  <c r="H154" i="11" a="1"/>
  <c r="H154" i="11" s="1"/>
  <c r="H149" i="11" a="1"/>
  <c r="H149" i="11" s="1"/>
  <c r="H148" i="11" a="1"/>
  <c r="H148" i="11" s="1"/>
  <c r="H134" i="11" a="1"/>
  <c r="H134" i="11" s="1"/>
  <c r="H75" i="11" a="1"/>
  <c r="H75" i="11" s="1"/>
  <c r="H74" i="11" a="1"/>
  <c r="H74" i="11" s="1"/>
  <c r="M42" i="11"/>
  <c r="M41" i="11"/>
  <c r="M40" i="11"/>
  <c r="H49" i="36" a="1"/>
  <c r="H49" i="36" s="1"/>
  <c r="H48" i="36" a="1"/>
  <c r="H48" i="36" s="1"/>
  <c r="H47" i="36" a="1"/>
  <c r="H47" i="36" s="1"/>
  <c r="H46" i="36" a="1"/>
  <c r="H46" i="36" s="1"/>
  <c r="H45" i="36" a="1"/>
  <c r="H45" i="36" s="1"/>
  <c r="H44" i="36" a="1"/>
  <c r="H44" i="36" s="1"/>
  <c r="H43" i="36" a="1"/>
  <c r="H43" i="36" s="1"/>
  <c r="H41" i="36" a="1"/>
  <c r="H41" i="36" s="1"/>
  <c r="H40" i="36" a="1"/>
  <c r="H40" i="36" s="1"/>
  <c r="H39" i="36" a="1"/>
  <c r="H39" i="36" s="1"/>
  <c r="H38" i="36" a="1"/>
  <c r="H38" i="36" s="1"/>
  <c r="H31" i="36" a="1"/>
  <c r="H31" i="36" s="1"/>
  <c r="H30" i="36" a="1"/>
  <c r="H30" i="36" s="1"/>
  <c r="K22" i="36" a="1"/>
  <c r="K22" i="36" s="1"/>
  <c r="I22" i="36" a="1"/>
  <c r="I22" i="36" s="1"/>
  <c r="D22" i="36" a="1"/>
  <c r="D22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C9" i="36"/>
  <c r="I26" i="36" a="1"/>
  <c r="I26" i="36" s="1"/>
  <c r="D26" i="36" a="1"/>
  <c r="D26" i="36" s="1"/>
  <c r="D25" i="36" a="1"/>
  <c r="D25" i="36" s="1"/>
  <c r="A25" i="36" a="1"/>
  <c r="A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B24" i="36" a="1"/>
  <c r="B24" i="36" s="1"/>
  <c r="I23" i="36" a="1"/>
  <c r="I23" i="36" s="1"/>
  <c r="H61" i="36" a="1"/>
  <c r="H61" i="36" s="1"/>
  <c r="H60" i="36" a="1"/>
  <c r="H60" i="36" s="1"/>
  <c r="H42" i="36"/>
  <c r="H37" i="36"/>
  <c r="H36" i="36" a="1"/>
  <c r="H36" i="36" s="1"/>
  <c r="H35" i="36"/>
  <c r="H34" i="36"/>
  <c r="H33" i="36"/>
  <c r="H32" i="36"/>
  <c r="H12" i="36"/>
  <c r="C12" i="36"/>
  <c r="H11" i="36"/>
  <c r="C11" i="36"/>
  <c r="C10" i="36"/>
  <c r="H9" i="36"/>
  <c r="H8" i="36"/>
  <c r="C8" i="36"/>
  <c r="H7" i="36"/>
  <c r="C7" i="36"/>
  <c r="H6" i="36"/>
  <c r="C6" i="36"/>
  <c r="I26" i="35" a="1"/>
  <c r="I26" i="35" s="1"/>
  <c r="D26" i="35" a="1"/>
  <c r="D26" i="35" s="1"/>
  <c r="D25" i="35" a="1"/>
  <c r="D25" i="35" s="1"/>
  <c r="A25" i="35" a="1"/>
  <c r="A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B24" i="35" a="1"/>
  <c r="B24" i="35" s="1"/>
  <c r="I23" i="35" a="1"/>
  <c r="I23" i="35" s="1"/>
  <c r="H49" i="35" a="1"/>
  <c r="H49" i="35" s="1"/>
  <c r="H48" i="35" a="1"/>
  <c r="H48" i="35" s="1"/>
  <c r="H47" i="35" a="1"/>
  <c r="H47" i="35" s="1"/>
  <c r="H46" i="35" a="1"/>
  <c r="H46" i="35" s="1"/>
  <c r="H45" i="35" a="1"/>
  <c r="H45" i="35" s="1"/>
  <c r="H44" i="35" a="1"/>
  <c r="H44" i="35" s="1"/>
  <c r="H43" i="35" a="1"/>
  <c r="H43" i="35" s="1"/>
  <c r="H41" i="35" a="1"/>
  <c r="H41" i="35" s="1"/>
  <c r="H40" i="35" a="1"/>
  <c r="H40" i="35" s="1"/>
  <c r="H39" i="35" a="1"/>
  <c r="H39" i="35" s="1"/>
  <c r="H38" i="35" a="1"/>
  <c r="H38" i="35" s="1"/>
  <c r="H31" i="35" a="1"/>
  <c r="H31" i="35" s="1"/>
  <c r="H30" i="35" a="1"/>
  <c r="H30" i="35" s="1"/>
  <c r="K22" i="35" a="1"/>
  <c r="K22" i="35" s="1"/>
  <c r="I22" i="35" a="1"/>
  <c r="I22" i="35" s="1"/>
  <c r="D22" i="35" a="1"/>
  <c r="D22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C9" i="35"/>
  <c r="H61" i="35" a="1"/>
  <c r="H61" i="35" s="1"/>
  <c r="H60" i="35" a="1"/>
  <c r="H60" i="35" s="1"/>
  <c r="H42" i="35"/>
  <c r="H37" i="35"/>
  <c r="H36" i="35" a="1"/>
  <c r="H36" i="35" s="1"/>
  <c r="H35" i="35"/>
  <c r="H34" i="35"/>
  <c r="H33" i="35"/>
  <c r="H32" i="35"/>
  <c r="H12" i="35"/>
  <c r="C12" i="35"/>
  <c r="H11" i="35"/>
  <c r="C11" i="35"/>
  <c r="C10" i="35"/>
  <c r="H9" i="35"/>
  <c r="H8" i="35"/>
  <c r="C8" i="35"/>
  <c r="H7" i="35"/>
  <c r="C7" i="35"/>
  <c r="H6" i="35"/>
  <c r="C6" i="35"/>
  <c r="H49" i="34" a="1"/>
  <c r="H49" i="34" s="1"/>
  <c r="H48" i="34" a="1"/>
  <c r="H48" i="34" s="1"/>
  <c r="H47" i="34" a="1"/>
  <c r="H47" i="34" s="1"/>
  <c r="H46" i="34" a="1"/>
  <c r="H46" i="34" s="1"/>
  <c r="H45" i="34" a="1"/>
  <c r="H45" i="34" s="1"/>
  <c r="H44" i="34" a="1"/>
  <c r="H44" i="34" s="1"/>
  <c r="H43" i="34" a="1"/>
  <c r="H43" i="34" s="1"/>
  <c r="H41" i="34" a="1"/>
  <c r="H41" i="34" s="1"/>
  <c r="H40" i="34" a="1"/>
  <c r="H40" i="34" s="1"/>
  <c r="H39" i="34" a="1"/>
  <c r="H39" i="34" s="1"/>
  <c r="H38" i="34" a="1"/>
  <c r="H38" i="34" s="1"/>
  <c r="H31" i="34" a="1"/>
  <c r="H31" i="34" s="1"/>
  <c r="H30" i="34" a="1"/>
  <c r="H30" i="34" s="1"/>
  <c r="K22" i="34" a="1"/>
  <c r="K22" i="34" s="1"/>
  <c r="I22" i="34" a="1"/>
  <c r="I22" i="34" s="1"/>
  <c r="D22" i="34" a="1"/>
  <c r="D22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C9" i="34"/>
  <c r="I26" i="34" a="1"/>
  <c r="I26" i="34" s="1"/>
  <c r="D26" i="34" a="1"/>
  <c r="D26" i="34" s="1"/>
  <c r="D25" i="34" a="1"/>
  <c r="D25" i="34" s="1"/>
  <c r="A25" i="34" a="1"/>
  <c r="A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B24" i="34" a="1"/>
  <c r="B24" i="34" s="1"/>
  <c r="I23" i="34" a="1"/>
  <c r="I23" i="34" s="1"/>
  <c r="H61" i="34" a="1"/>
  <c r="H61" i="34" s="1"/>
  <c r="H60" i="34" a="1"/>
  <c r="H60" i="34" s="1"/>
  <c r="H42" i="34"/>
  <c r="H37" i="34"/>
  <c r="H36" i="34" a="1"/>
  <c r="H36" i="34" s="1"/>
  <c r="H35" i="34"/>
  <c r="H34" i="34"/>
  <c r="H33" i="34"/>
  <c r="H32" i="34"/>
  <c r="H12" i="34"/>
  <c r="C12" i="34"/>
  <c r="H11" i="34"/>
  <c r="C11" i="34"/>
  <c r="C10" i="34"/>
  <c r="H9" i="34"/>
  <c r="H8" i="34"/>
  <c r="C8" i="34"/>
  <c r="H7" i="34"/>
  <c r="C7" i="34"/>
  <c r="H6" i="34"/>
  <c r="C6" i="34"/>
  <c r="I26" i="33" a="1"/>
  <c r="I26" i="33" s="1"/>
  <c r="D26" i="33" a="1"/>
  <c r="D26" i="33" s="1"/>
  <c r="D25" i="33" a="1"/>
  <c r="D25" i="33" s="1"/>
  <c r="A25" i="33" a="1"/>
  <c r="A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B24" i="33" a="1"/>
  <c r="B24" i="33" s="1"/>
  <c r="I23" i="33" a="1"/>
  <c r="I23" i="33" s="1"/>
  <c r="H49" i="33" a="1"/>
  <c r="H49" i="33" s="1"/>
  <c r="H48" i="33" a="1"/>
  <c r="H48" i="33" s="1"/>
  <c r="H47" i="33" a="1"/>
  <c r="H47" i="33" s="1"/>
  <c r="H46" i="33" a="1"/>
  <c r="H46" i="33" s="1"/>
  <c r="H45" i="33" a="1"/>
  <c r="H45" i="33" s="1"/>
  <c r="H44" i="33" a="1"/>
  <c r="H44" i="33" s="1"/>
  <c r="H43" i="33" a="1"/>
  <c r="H43" i="33" s="1"/>
  <c r="H41" i="33" a="1"/>
  <c r="H41" i="33" s="1"/>
  <c r="H40" i="33" a="1"/>
  <c r="H40" i="33" s="1"/>
  <c r="H39" i="33" a="1"/>
  <c r="H39" i="33" s="1"/>
  <c r="H38" i="33" a="1"/>
  <c r="H38" i="33" s="1"/>
  <c r="H31" i="33" a="1"/>
  <c r="H31" i="33" s="1"/>
  <c r="H30" i="33" a="1"/>
  <c r="H30" i="33" s="1"/>
  <c r="K22" i="33" a="1"/>
  <c r="K22" i="33" s="1"/>
  <c r="I22" i="33" a="1"/>
  <c r="I22" i="33" s="1"/>
  <c r="D22" i="33" a="1"/>
  <c r="D22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C9" i="33"/>
  <c r="H61" i="33" a="1"/>
  <c r="H61" i="33" s="1"/>
  <c r="H60" i="33" a="1"/>
  <c r="H60" i="33" s="1"/>
  <c r="H42" i="33"/>
  <c r="H37" i="33"/>
  <c r="H36" i="33" a="1"/>
  <c r="H36" i="33" s="1"/>
  <c r="H35" i="33"/>
  <c r="H34" i="33"/>
  <c r="H33" i="33"/>
  <c r="H32" i="33"/>
  <c r="H12" i="33"/>
  <c r="C12" i="33"/>
  <c r="H11" i="33"/>
  <c r="C11" i="33"/>
  <c r="C10" i="33"/>
  <c r="H9" i="33"/>
  <c r="H8" i="33"/>
  <c r="C8" i="33"/>
  <c r="H7" i="33"/>
  <c r="C7" i="33"/>
  <c r="H6" i="33"/>
  <c r="C6" i="33"/>
  <c r="H49" i="32" a="1"/>
  <c r="H49" i="32" s="1"/>
  <c r="H48" i="32" a="1"/>
  <c r="H48" i="32" s="1"/>
  <c r="H47" i="32" a="1"/>
  <c r="H47" i="32" s="1"/>
  <c r="H46" i="32" a="1"/>
  <c r="H46" i="32" s="1"/>
  <c r="H45" i="32" a="1"/>
  <c r="H45" i="32" s="1"/>
  <c r="H44" i="32" a="1"/>
  <c r="H44" i="32" s="1"/>
  <c r="H43" i="32" a="1"/>
  <c r="H43" i="32" s="1"/>
  <c r="H41" i="32" a="1"/>
  <c r="H41" i="32" s="1"/>
  <c r="H40" i="32" a="1"/>
  <c r="H40" i="32" s="1"/>
  <c r="H39" i="32" a="1"/>
  <c r="H39" i="32" s="1"/>
  <c r="H38" i="32" a="1"/>
  <c r="H38" i="32" s="1"/>
  <c r="H31" i="32" a="1"/>
  <c r="H31" i="32" s="1"/>
  <c r="H30" i="32" a="1"/>
  <c r="H30" i="32" s="1"/>
  <c r="K22" i="32" a="1"/>
  <c r="K22" i="32" s="1"/>
  <c r="I22" i="32" a="1"/>
  <c r="I22" i="32" s="1"/>
  <c r="D22" i="32" a="1"/>
  <c r="D22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C9" i="32"/>
  <c r="I26" i="32" a="1"/>
  <c r="I26" i="32" s="1"/>
  <c r="D26" i="32" a="1"/>
  <c r="D26" i="32" s="1"/>
  <c r="D25" i="32" a="1"/>
  <c r="D25" i="32" s="1"/>
  <c r="A25" i="32" a="1"/>
  <c r="A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B24" i="32" a="1"/>
  <c r="B24" i="32" s="1"/>
  <c r="I23" i="32" a="1"/>
  <c r="I23" i="32" s="1"/>
  <c r="H61" i="32" a="1"/>
  <c r="H61" i="32" s="1"/>
  <c r="H60" i="32" a="1"/>
  <c r="H60" i="32" s="1"/>
  <c r="H42" i="32"/>
  <c r="H37" i="32"/>
  <c r="H36" i="32" a="1"/>
  <c r="H36" i="32" s="1"/>
  <c r="H35" i="32"/>
  <c r="H34" i="32"/>
  <c r="H33" i="32"/>
  <c r="H32" i="32"/>
  <c r="H12" i="32"/>
  <c r="C12" i="32"/>
  <c r="H11" i="32"/>
  <c r="C11" i="32"/>
  <c r="C10" i="32"/>
  <c r="H9" i="32"/>
  <c r="H8" i="32"/>
  <c r="C8" i="32"/>
  <c r="H7" i="32"/>
  <c r="C7" i="32"/>
  <c r="H6" i="32"/>
  <c r="C6" i="32"/>
  <c r="I26" i="31" a="1"/>
  <c r="I26" i="31" s="1"/>
  <c r="D26" i="31" a="1"/>
  <c r="D26" i="31" s="1"/>
  <c r="D25" i="31" a="1"/>
  <c r="D25" i="31" s="1"/>
  <c r="A25" i="31" a="1"/>
  <c r="A25" i="31" s="1"/>
  <c r="K24" i="31" a="1"/>
  <c r="K24" i="31" s="1"/>
  <c r="I24" i="31" a="1"/>
  <c r="I24" i="31" s="1"/>
  <c r="H24" i="31" a="1"/>
  <c r="H24" i="31" s="1"/>
  <c r="G24" i="31" a="1"/>
  <c r="G24" i="31" s="1"/>
  <c r="F24" i="31" a="1"/>
  <c r="F24" i="31" s="1"/>
  <c r="E24" i="31" a="1"/>
  <c r="E24" i="31" s="1"/>
  <c r="D24" i="31" a="1"/>
  <c r="D24" i="31" s="1"/>
  <c r="B24" i="31" a="1"/>
  <c r="B24" i="31" s="1"/>
  <c r="I23" i="31" a="1"/>
  <c r="I23" i="31" s="1"/>
  <c r="H49" i="31" a="1"/>
  <c r="H49" i="31" s="1"/>
  <c r="H48" i="31" a="1"/>
  <c r="H48" i="31" s="1"/>
  <c r="H47" i="31" a="1"/>
  <c r="H47" i="31" s="1"/>
  <c r="H46" i="31" a="1"/>
  <c r="H46" i="31" s="1"/>
  <c r="H45" i="31" a="1"/>
  <c r="H45" i="31" s="1"/>
  <c r="H44" i="31" a="1"/>
  <c r="H44" i="31" s="1"/>
  <c r="H43" i="31" a="1"/>
  <c r="H43" i="31" s="1"/>
  <c r="H41" i="31" a="1"/>
  <c r="H41" i="31" s="1"/>
  <c r="H40" i="31" a="1"/>
  <c r="H40" i="31" s="1"/>
  <c r="H39" i="31" a="1"/>
  <c r="H39" i="31" s="1"/>
  <c r="H38" i="31" a="1"/>
  <c r="H38" i="31" s="1"/>
  <c r="H31" i="31" a="1"/>
  <c r="H31" i="31" s="1"/>
  <c r="H30" i="31" a="1"/>
  <c r="H30" i="31" s="1"/>
  <c r="K22" i="31" a="1"/>
  <c r="K22" i="31" s="1"/>
  <c r="I22" i="31" a="1"/>
  <c r="I22" i="31" s="1"/>
  <c r="D22" i="31" a="1"/>
  <c r="D22" i="31" s="1"/>
  <c r="D21" i="31" a="1"/>
  <c r="D21" i="31" s="1"/>
  <c r="A21" i="31" a="1"/>
  <c r="A21" i="31" s="1"/>
  <c r="K20" i="31" a="1"/>
  <c r="K20" i="31" s="1"/>
  <c r="I20" i="31" a="1"/>
  <c r="I20" i="31" s="1"/>
  <c r="H20" i="31" a="1"/>
  <c r="H20" i="31" s="1"/>
  <c r="G20" i="31" a="1"/>
  <c r="G20" i="31" s="1"/>
  <c r="F20" i="31" a="1"/>
  <c r="F20" i="31" s="1"/>
  <c r="E20" i="31" a="1"/>
  <c r="E20" i="31" s="1"/>
  <c r="D20" i="31" a="1"/>
  <c r="D20" i="31" s="1"/>
  <c r="B20" i="31" a="1"/>
  <c r="B20" i="31" s="1"/>
  <c r="K19" i="31" a="1"/>
  <c r="K19" i="31" s="1"/>
  <c r="I19" i="31" a="1"/>
  <c r="I19" i="31" s="1"/>
  <c r="C9" i="31"/>
  <c r="H61" i="31" a="1"/>
  <c r="H61" i="31" s="1"/>
  <c r="H60" i="31" a="1"/>
  <c r="H60" i="31" s="1"/>
  <c r="H42" i="31"/>
  <c r="H37" i="31"/>
  <c r="H36" i="31" a="1"/>
  <c r="H36" i="31" s="1"/>
  <c r="H35" i="31"/>
  <c r="H34" i="31"/>
  <c r="H33" i="31"/>
  <c r="H32" i="31"/>
  <c r="H12" i="31"/>
  <c r="C12" i="31"/>
  <c r="H11" i="31"/>
  <c r="C11" i="31"/>
  <c r="C10" i="31"/>
  <c r="H9" i="31"/>
  <c r="H8" i="31"/>
  <c r="C8" i="31"/>
  <c r="H7" i="31"/>
  <c r="C7" i="31"/>
  <c r="H6" i="31"/>
  <c r="C6" i="31"/>
  <c r="H49" i="30" a="1"/>
  <c r="H49" i="30" s="1"/>
  <c r="H48" i="30" a="1"/>
  <c r="H48" i="30" s="1"/>
  <c r="H47" i="30" a="1"/>
  <c r="H47" i="30" s="1"/>
  <c r="H46" i="30" a="1"/>
  <c r="H46" i="30" s="1"/>
  <c r="H45" i="30" a="1"/>
  <c r="H45" i="30" s="1"/>
  <c r="H44" i="30" a="1"/>
  <c r="H44" i="30" s="1"/>
  <c r="H43" i="30" a="1"/>
  <c r="H43" i="30" s="1"/>
  <c r="H41" i="30" a="1"/>
  <c r="H41" i="30" s="1"/>
  <c r="H40" i="30" a="1"/>
  <c r="H40" i="30" s="1"/>
  <c r="H39" i="30" a="1"/>
  <c r="H39" i="30" s="1"/>
  <c r="H38" i="30" a="1"/>
  <c r="H38" i="30" s="1"/>
  <c r="H31" i="30" a="1"/>
  <c r="H31" i="30" s="1"/>
  <c r="H30" i="30" a="1"/>
  <c r="H30" i="30" s="1"/>
  <c r="K22" i="30" a="1"/>
  <c r="K22" i="30" s="1"/>
  <c r="I22" i="30" a="1"/>
  <c r="I22" i="30" s="1"/>
  <c r="D22" i="30" a="1"/>
  <c r="D22" i="30" s="1"/>
  <c r="D21" i="30" a="1"/>
  <c r="D21" i="30" s="1"/>
  <c r="A21" i="30" a="1"/>
  <c r="A21" i="30" s="1"/>
  <c r="K20" i="30" a="1"/>
  <c r="K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B20" i="30" a="1"/>
  <c r="B20" i="30" s="1"/>
  <c r="K19" i="30" a="1"/>
  <c r="K19" i="30" s="1"/>
  <c r="I19" i="30" a="1"/>
  <c r="I19" i="30" s="1"/>
  <c r="C9" i="30"/>
  <c r="I26" i="30" a="1"/>
  <c r="I26" i="30" s="1"/>
  <c r="D26" i="30" a="1"/>
  <c r="D26" i="30" s="1"/>
  <c r="D25" i="30" a="1"/>
  <c r="D25" i="30" s="1"/>
  <c r="A25" i="30" a="1"/>
  <c r="A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E24" i="30" a="1"/>
  <c r="E24" i="30" s="1"/>
  <c r="D24" i="30" a="1"/>
  <c r="D24" i="30" s="1"/>
  <c r="B24" i="30" a="1"/>
  <c r="B24" i="30" s="1"/>
  <c r="I23" i="30" a="1"/>
  <c r="I23" i="30" s="1"/>
  <c r="H61" i="30" a="1"/>
  <c r="H61" i="30" s="1"/>
  <c r="H60" i="30" a="1"/>
  <c r="H60" i="30" s="1"/>
  <c r="H42" i="30"/>
  <c r="H37" i="30"/>
  <c r="H36" i="30" a="1"/>
  <c r="H36" i="30" s="1"/>
  <c r="H35" i="30"/>
  <c r="H34" i="30"/>
  <c r="H33" i="30"/>
  <c r="H32" i="30"/>
  <c r="H12" i="30"/>
  <c r="C12" i="30"/>
  <c r="H11" i="30"/>
  <c r="C11" i="30"/>
  <c r="C10" i="30"/>
  <c r="H9" i="30"/>
  <c r="H8" i="30"/>
  <c r="C8" i="30"/>
  <c r="H7" i="30"/>
  <c r="C7" i="30"/>
  <c r="H6" i="30"/>
  <c r="C6" i="30"/>
  <c r="I26" i="29" a="1"/>
  <c r="I26" i="29" s="1"/>
  <c r="D26" i="29" a="1"/>
  <c r="D26" i="29" s="1"/>
  <c r="D25" i="29" a="1"/>
  <c r="D25" i="29" s="1"/>
  <c r="A25" i="29" a="1"/>
  <c r="A25" i="29" s="1"/>
  <c r="K24" i="29" a="1"/>
  <c r="K24" i="29" s="1"/>
  <c r="I24" i="29" a="1"/>
  <c r="I24" i="29" s="1"/>
  <c r="H24" i="29" a="1"/>
  <c r="H24" i="29" s="1"/>
  <c r="G24" i="29" a="1"/>
  <c r="G24" i="29" s="1"/>
  <c r="F24" i="29" a="1"/>
  <c r="F24" i="29" s="1"/>
  <c r="E24" i="29" a="1"/>
  <c r="E24" i="29" s="1"/>
  <c r="D24" i="29" a="1"/>
  <c r="D24" i="29" s="1"/>
  <c r="B24" i="29" a="1"/>
  <c r="B24" i="29" s="1"/>
  <c r="I23" i="29" a="1"/>
  <c r="I23" i="29" s="1"/>
  <c r="H49" i="29" a="1"/>
  <c r="H49" i="29" s="1"/>
  <c r="H48" i="29" a="1"/>
  <c r="H48" i="29" s="1"/>
  <c r="H47" i="29" a="1"/>
  <c r="H47" i="29" s="1"/>
  <c r="H46" i="29" a="1"/>
  <c r="H46" i="29" s="1"/>
  <c r="H45" i="29" a="1"/>
  <c r="H45" i="29" s="1"/>
  <c r="H44" i="29" a="1"/>
  <c r="H44" i="29" s="1"/>
  <c r="H43" i="29" a="1"/>
  <c r="H43" i="29" s="1"/>
  <c r="H41" i="29" a="1"/>
  <c r="H41" i="29" s="1"/>
  <c r="H40" i="29" a="1"/>
  <c r="H40" i="29" s="1"/>
  <c r="H39" i="29" a="1"/>
  <c r="H39" i="29" s="1"/>
  <c r="H38" i="29" a="1"/>
  <c r="H38" i="29" s="1"/>
  <c r="H31" i="29" a="1"/>
  <c r="H31" i="29" s="1"/>
  <c r="H30" i="29" a="1"/>
  <c r="H30" i="29" s="1"/>
  <c r="K22" i="29" a="1"/>
  <c r="K22" i="29" s="1"/>
  <c r="I22" i="29" a="1"/>
  <c r="I22" i="29" s="1"/>
  <c r="D22" i="29" a="1"/>
  <c r="D22" i="29" s="1"/>
  <c r="D21" i="29" a="1"/>
  <c r="D21" i="29" s="1"/>
  <c r="A21" i="29" a="1"/>
  <c r="A21" i="29" s="1"/>
  <c r="K20" i="29" a="1"/>
  <c r="K20" i="29" s="1"/>
  <c r="I20" i="29" a="1"/>
  <c r="I20" i="29" s="1"/>
  <c r="H20" i="29" a="1"/>
  <c r="H20" i="29" s="1"/>
  <c r="G20" i="29" a="1"/>
  <c r="G20" i="29" s="1"/>
  <c r="F20" i="29" a="1"/>
  <c r="F20" i="29" s="1"/>
  <c r="E20" i="29" a="1"/>
  <c r="E20" i="29" s="1"/>
  <c r="D20" i="29" a="1"/>
  <c r="D20" i="29" s="1"/>
  <c r="B20" i="29" a="1"/>
  <c r="B20" i="29" s="1"/>
  <c r="K19" i="29" a="1"/>
  <c r="K19" i="29" s="1"/>
  <c r="I19" i="29" a="1"/>
  <c r="I19" i="29" s="1"/>
  <c r="C9" i="29"/>
  <c r="H61" i="29" a="1"/>
  <c r="H61" i="29" s="1"/>
  <c r="H60" i="29" a="1"/>
  <c r="H60" i="29" s="1"/>
  <c r="H42" i="29"/>
  <c r="H37" i="29"/>
  <c r="H36" i="29" a="1"/>
  <c r="H36" i="29" s="1"/>
  <c r="H35" i="29"/>
  <c r="H34" i="29"/>
  <c r="H33" i="29"/>
  <c r="H32" i="29"/>
  <c r="H12" i="29"/>
  <c r="C12" i="29"/>
  <c r="H11" i="29"/>
  <c r="C11" i="29"/>
  <c r="C10" i="29"/>
  <c r="H9" i="29"/>
  <c r="H8" i="29"/>
  <c r="C8" i="29"/>
  <c r="H7" i="29"/>
  <c r="C7" i="29"/>
  <c r="H6" i="29"/>
  <c r="C6" i="29"/>
  <c r="H40" i="6" a="1"/>
  <c r="H40" i="6" s="1"/>
  <c r="H39" i="6" a="1"/>
  <c r="H39" i="6" s="1"/>
  <c r="H38" i="6" a="1"/>
  <c r="H38" i="6" s="1"/>
  <c r="H36" i="6" a="1"/>
  <c r="H36" i="6" s="1"/>
  <c r="H35" i="6"/>
  <c r="H34" i="6"/>
  <c r="H33" i="6"/>
  <c r="H32" i="6"/>
  <c r="K22" i="6" a="1"/>
  <c r="K22" i="6" s="1"/>
  <c r="H30" i="6" a="1"/>
  <c r="H30" i="6" s="1"/>
  <c r="I22" i="6" a="1"/>
  <c r="I22" i="6" s="1"/>
  <c r="H31" i="6" a="1"/>
  <c r="H31" i="6" s="1"/>
  <c r="A25" i="6" a="1"/>
  <c r="A25" i="6" s="1"/>
  <c r="I23" i="6" a="1"/>
  <c r="I23" i="6" s="1"/>
  <c r="I26" i="6" a="1"/>
  <c r="I26" i="6" s="1"/>
  <c r="D26" i="6" a="1"/>
  <c r="D26" i="6" s="1"/>
  <c r="D25" i="6" a="1"/>
  <c r="D25" i="6" s="1"/>
  <c r="K24" i="6" a="1"/>
  <c r="K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B24" i="6" a="1"/>
  <c r="B24" i="6" s="1"/>
  <c r="B20" i="6" a="1"/>
  <c r="B20" i="6" s="1"/>
  <c r="D21" i="6" a="1"/>
  <c r="D21" i="6" s="1"/>
  <c r="D20" i="6" a="1"/>
  <c r="D20" i="6" s="1"/>
  <c r="F20" i="6" a="1"/>
  <c r="F20" i="6" s="1"/>
  <c r="G20" i="6" a="1"/>
  <c r="G20" i="6" s="1"/>
  <c r="H20" i="6" a="1"/>
  <c r="H20" i="6" s="1"/>
  <c r="I20" i="6" a="1"/>
  <c r="I20" i="6" s="1"/>
  <c r="K20" i="6" a="1"/>
  <c r="K20" i="6" s="1"/>
  <c r="I19" i="6" a="1"/>
  <c r="I19" i="6" s="1"/>
  <c r="E20" i="6" a="1"/>
  <c r="E20" i="6" s="1"/>
  <c r="D22" i="6" a="1"/>
  <c r="D22" i="6" s="1"/>
  <c r="K19" i="6" a="1"/>
  <c r="K19" i="6" s="1"/>
  <c r="A21" i="6" a="1"/>
  <c r="A21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1" i="6" a="1"/>
  <c r="H41" i="6" s="1"/>
  <c r="C9" i="6"/>
  <c r="AQ14" i="27" l="1"/>
  <c r="AJ14" i="27"/>
  <c r="AQ12" i="27"/>
  <c r="AJ12" i="27"/>
  <c r="AQ10" i="27"/>
  <c r="AJ10" i="27"/>
  <c r="AQ8" i="27"/>
  <c r="AJ8" i="27"/>
  <c r="H61" i="6" a="1"/>
  <c r="H61" i="6" s="1"/>
  <c r="H60" i="6" a="1"/>
  <c r="H60" i="6" s="1"/>
  <c r="C7" i="6"/>
  <c r="C6" i="6"/>
  <c r="O25" i="24" l="1"/>
  <c r="O23" i="24"/>
  <c r="O22" i="24"/>
  <c r="O21" i="24"/>
  <c r="O20" i="24"/>
  <c r="O19" i="24"/>
  <c r="O18" i="24"/>
  <c r="O17" i="24"/>
  <c r="O24" i="24"/>
  <c r="C46" i="26"/>
  <c r="E46" i="26" s="1"/>
  <c r="AB14" i="27"/>
  <c r="U14" i="27"/>
  <c r="AB12" i="27"/>
  <c r="U12" i="27"/>
  <c r="AB10" i="27"/>
  <c r="U10" i="27"/>
  <c r="AB8" i="27"/>
  <c r="U8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O80" i="26" s="1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N73" i="26" s="1"/>
  <c r="R72" i="26"/>
  <c r="N72" i="26" s="1"/>
  <c r="R77" i="26"/>
  <c r="O77" i="26" s="1"/>
  <c r="C54" i="26"/>
  <c r="AD67" i="26" s="1"/>
  <c r="C53" i="26"/>
  <c r="W53" i="26" s="1"/>
  <c r="C52" i="26"/>
  <c r="G52" i="26" s="1"/>
  <c r="C51" i="26"/>
  <c r="AD51" i="26" s="1"/>
  <c r="C50" i="26"/>
  <c r="F50" i="26" s="1"/>
  <c r="C49" i="26"/>
  <c r="W49" i="26" s="1"/>
  <c r="C48" i="26"/>
  <c r="AQ48" i="26" s="1"/>
  <c r="C47" i="26"/>
  <c r="F47" i="26" s="1"/>
  <c r="H11" i="6"/>
  <c r="H12" i="6"/>
  <c r="T59" i="11"/>
  <c r="G10" i="11"/>
  <c r="G67" i="11" s="1"/>
  <c r="C11" i="6"/>
  <c r="K6" i="24"/>
  <c r="K7" i="24"/>
  <c r="K8" i="24"/>
  <c r="K9" i="24"/>
  <c r="K10" i="24"/>
  <c r="K11" i="24"/>
  <c r="K12" i="24"/>
  <c r="K13" i="24"/>
  <c r="K14" i="24"/>
  <c r="K5" i="24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C8" i="6"/>
  <c r="C10" i="6"/>
  <c r="C12" i="6"/>
  <c r="H42" i="6"/>
  <c r="H9" i="6"/>
  <c r="H8" i="6"/>
  <c r="H7" i="6"/>
  <c r="H6" i="6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J18" i="24"/>
  <c r="L18" i="24" s="1"/>
  <c r="I19" i="24"/>
  <c r="F62" i="26"/>
  <c r="AL49" i="26"/>
  <c r="W62" i="26"/>
  <c r="AK49" i="26"/>
  <c r="AO62" i="26"/>
  <c r="AE62" i="26"/>
  <c r="Z49" i="26"/>
  <c r="R49" i="26"/>
  <c r="U62" i="26"/>
  <c r="T62" i="26"/>
  <c r="G49" i="26"/>
  <c r="AL50" i="26"/>
  <c r="L62" i="26"/>
  <c r="R46" i="26"/>
  <c r="AL59" i="26"/>
  <c r="AB59" i="26"/>
  <c r="AP46" i="26"/>
  <c r="AF46" i="26"/>
  <c r="AJ59" i="26"/>
  <c r="Z59" i="26"/>
  <c r="V46" i="26"/>
  <c r="G46" i="26"/>
  <c r="U46" i="26"/>
  <c r="AI46" i="26"/>
  <c r="O46" i="26"/>
  <c r="E49" i="26"/>
  <c r="AD59" i="26"/>
  <c r="H59" i="26"/>
  <c r="J59" i="26"/>
  <c r="O59" i="26"/>
  <c r="M59" i="26"/>
  <c r="E50" i="26"/>
  <c r="R59" i="26"/>
  <c r="J46" i="26"/>
  <c r="AA46" i="26"/>
  <c r="P59" i="26"/>
  <c r="AI59" i="26"/>
  <c r="Q59" i="26"/>
  <c r="AN46" i="26"/>
  <c r="AJ46" i="26"/>
  <c r="AA59" i="26"/>
  <c r="AK59" i="26"/>
  <c r="AB46" i="26"/>
  <c r="AL46" i="26"/>
  <c r="AK50" i="26"/>
  <c r="M46" i="26"/>
  <c r="K63" i="26"/>
  <c r="AN59" i="26"/>
  <c r="H46" i="26"/>
  <c r="K59" i="26"/>
  <c r="E59" i="26"/>
  <c r="L59" i="26"/>
  <c r="T46" i="26"/>
  <c r="F46" i="26"/>
  <c r="V59" i="26"/>
  <c r="L46" i="26"/>
  <c r="Y46" i="26"/>
  <c r="AE46" i="26"/>
  <c r="AO46" i="26"/>
  <c r="AF59" i="26"/>
  <c r="AP59" i="26"/>
  <c r="AG46" i="26"/>
  <c r="AQ46" i="26"/>
  <c r="O50" i="26"/>
  <c r="T59" i="26"/>
  <c r="F59" i="26"/>
  <c r="W46" i="26"/>
  <c r="G59" i="26"/>
  <c r="Z46" i="26"/>
  <c r="U59" i="26"/>
  <c r="K46" i="26"/>
  <c r="Y59" i="26"/>
  <c r="Q46" i="26"/>
  <c r="AD46" i="26"/>
  <c r="AE59" i="26"/>
  <c r="AO59" i="26"/>
  <c r="AK46" i="26"/>
  <c r="W59" i="26"/>
  <c r="AG59" i="26"/>
  <c r="AQ59" i="26"/>
  <c r="AQ50" i="26"/>
  <c r="P46" i="26"/>
  <c r="AE63" i="26" l="1"/>
  <c r="AF50" i="26"/>
  <c r="V63" i="26"/>
  <c r="P20" i="11" a="1"/>
  <c r="P20" i="11" s="1"/>
  <c r="P244" i="11" a="1"/>
  <c r="P244" i="11" s="1"/>
  <c r="P243" i="11" a="1"/>
  <c r="P243" i="11" s="1"/>
  <c r="P240" i="11" a="1"/>
  <c r="P240" i="11" s="1"/>
  <c r="P225" i="11" a="1"/>
  <c r="P225" i="11" s="1"/>
  <c r="P217" i="11" a="1"/>
  <c r="P217" i="11" s="1"/>
  <c r="P213" i="11" a="1"/>
  <c r="P213" i="11" s="1"/>
  <c r="P207" i="11" a="1"/>
  <c r="P207" i="11" s="1"/>
  <c r="P223" i="11" a="1"/>
  <c r="P223" i="11" s="1"/>
  <c r="P201" i="11" a="1"/>
  <c r="P201" i="11" s="1"/>
  <c r="P209" i="11" a="1"/>
  <c r="P209" i="11" s="1"/>
  <c r="P195" i="11" a="1"/>
  <c r="P195" i="11" s="1"/>
  <c r="P203" i="11" a="1"/>
  <c r="P203" i="11" s="1"/>
  <c r="P189" i="11" a="1"/>
  <c r="P189" i="11" s="1"/>
  <c r="P185" i="11" a="1"/>
  <c r="P185" i="11" s="1"/>
  <c r="P226" i="11" a="1"/>
  <c r="P226" i="11" s="1"/>
  <c r="P222" i="11" a="1"/>
  <c r="P222" i="11" s="1"/>
  <c r="P218" i="11" a="1"/>
  <c r="P218" i="11" s="1"/>
  <c r="P214" i="11" a="1"/>
  <c r="P214" i="11" s="1"/>
  <c r="P210" i="11" a="1"/>
  <c r="P210" i="11" s="1"/>
  <c r="S206" i="11" a="1"/>
  <c r="S206" i="11" s="1"/>
  <c r="S204" i="11" a="1"/>
  <c r="S204" i="11" s="1"/>
  <c r="S200" i="11" a="1"/>
  <c r="S200" i="11" s="1"/>
  <c r="S194" i="11" a="1"/>
  <c r="S194" i="11" s="1"/>
  <c r="S190" i="11" a="1"/>
  <c r="S190" i="11" s="1"/>
  <c r="S186" i="11" a="1"/>
  <c r="S186" i="11" s="1"/>
  <c r="S182" i="11" a="1"/>
  <c r="S182" i="11" s="1"/>
  <c r="S180" i="11" a="1"/>
  <c r="S180" i="11" s="1"/>
  <c r="S167" i="11" a="1"/>
  <c r="S167" i="11" s="1"/>
  <c r="S165" i="11" a="1"/>
  <c r="S165" i="11" s="1"/>
  <c r="S160" i="11" a="1"/>
  <c r="S160" i="11" s="1"/>
  <c r="S159" i="11" a="1"/>
  <c r="S159" i="11" s="1"/>
  <c r="S157" i="11" a="1"/>
  <c r="S157" i="11" s="1"/>
  <c r="S155" i="11" a="1"/>
  <c r="S155" i="11" s="1"/>
  <c r="S151" i="11" a="1"/>
  <c r="S151" i="11" s="1"/>
  <c r="S147" i="11" a="1"/>
  <c r="S147" i="11" s="1"/>
  <c r="S145" i="11" a="1"/>
  <c r="S145" i="11" s="1"/>
  <c r="S143" i="11" a="1"/>
  <c r="S143" i="11" s="1"/>
  <c r="S141" i="11" a="1"/>
  <c r="S141" i="11" s="1"/>
  <c r="S136" i="11" a="1"/>
  <c r="S136" i="11" s="1"/>
  <c r="S133" i="11" a="1"/>
  <c r="S133" i="11" s="1"/>
  <c r="S131" i="11" a="1"/>
  <c r="S131" i="11" s="1"/>
  <c r="S129" i="11" a="1"/>
  <c r="S129" i="11" s="1"/>
  <c r="S127" i="11" a="1"/>
  <c r="S127" i="11" s="1"/>
  <c r="S125" i="11" a="1"/>
  <c r="S125" i="11" s="1"/>
  <c r="P124" i="11" a="1"/>
  <c r="P124" i="11" s="1"/>
  <c r="P122" i="11" a="1"/>
  <c r="P122" i="11" s="1"/>
  <c r="P107" i="11" a="1"/>
  <c r="P107" i="11" s="1"/>
  <c r="P105" i="11" a="1"/>
  <c r="P105" i="11" s="1"/>
  <c r="P103" i="11" a="1"/>
  <c r="P103" i="11" s="1"/>
  <c r="P101" i="11" a="1"/>
  <c r="P101" i="11" s="1"/>
  <c r="P99" i="11" a="1"/>
  <c r="P99" i="11" s="1"/>
  <c r="P95" i="11" a="1"/>
  <c r="P95" i="11" s="1"/>
  <c r="P94" i="11" a="1"/>
  <c r="P94" i="11" s="1"/>
  <c r="S89" i="11" a="1"/>
  <c r="S89" i="11" s="1"/>
  <c r="P88" i="11" a="1"/>
  <c r="P88" i="11" s="1"/>
  <c r="P87" i="11" a="1"/>
  <c r="P87" i="11" s="1"/>
  <c r="P86" i="11" a="1"/>
  <c r="P86" i="11" s="1"/>
  <c r="P85" i="11" a="1"/>
  <c r="P85" i="11" s="1"/>
  <c r="P81" i="11" a="1"/>
  <c r="P81" i="11" s="1"/>
  <c r="P80" i="11" a="1"/>
  <c r="P80" i="11" s="1"/>
  <c r="P79" i="11" a="1"/>
  <c r="P79" i="11" s="1"/>
  <c r="S34" i="11" a="1"/>
  <c r="S34" i="11" s="1"/>
  <c r="S32" i="11" a="1"/>
  <c r="S32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S20" i="11" a="1"/>
  <c r="S20" i="11" s="1"/>
  <c r="P191" i="11" a="1"/>
  <c r="P191" i="11" s="1"/>
  <c r="P183" i="11" a="1"/>
  <c r="P183" i="11" s="1"/>
  <c r="P220" i="11" a="1"/>
  <c r="P220" i="11" s="1"/>
  <c r="P212" i="11" a="1"/>
  <c r="P212" i="11" s="1"/>
  <c r="S196" i="11" a="1"/>
  <c r="S196" i="11" s="1"/>
  <c r="S188" i="11" a="1"/>
  <c r="S188" i="11" s="1"/>
  <c r="S181" i="11" a="1"/>
  <c r="S181" i="11" s="1"/>
  <c r="S166" i="11" a="1"/>
  <c r="S166" i="11" s="1"/>
  <c r="S158" i="11" a="1"/>
  <c r="S158" i="11" s="1"/>
  <c r="S153" i="11" a="1"/>
  <c r="S153" i="11" s="1"/>
  <c r="S150" i="11" a="1"/>
  <c r="S150" i="11" s="1"/>
  <c r="S144" i="11" a="1"/>
  <c r="S144" i="11" s="1"/>
  <c r="S140" i="11" a="1"/>
  <c r="S140" i="11" s="1"/>
  <c r="S132" i="11" a="1"/>
  <c r="S132" i="11" s="1"/>
  <c r="S130" i="11" a="1"/>
  <c r="S130" i="11" s="1"/>
  <c r="S126" i="11" a="1"/>
  <c r="S126" i="11" s="1"/>
  <c r="P121" i="11" a="1"/>
  <c r="P121" i="11" s="1"/>
  <c r="P102" i="11" a="1"/>
  <c r="P102" i="11" s="1"/>
  <c r="P97" i="11" a="1"/>
  <c r="P97" i="11" s="1"/>
  <c r="P93" i="11" a="1"/>
  <c r="P93" i="11" s="1"/>
  <c r="P32" i="11" a="1"/>
  <c r="P32" i="11" s="1"/>
  <c r="S245" i="11" a="1"/>
  <c r="S245" i="11" s="1"/>
  <c r="S242" i="11" a="1"/>
  <c r="S242" i="11" s="1"/>
  <c r="S241" i="11" a="1"/>
  <c r="S241" i="11" s="1"/>
  <c r="S227" i="11" a="1"/>
  <c r="S227" i="11" s="1"/>
  <c r="S221" i="11" a="1"/>
  <c r="S221" i="11" s="1"/>
  <c r="S215" i="11" a="1"/>
  <c r="S215" i="11" s="1"/>
  <c r="S211" i="11" a="1"/>
  <c r="S211" i="11" s="1"/>
  <c r="S219" i="11" a="1"/>
  <c r="S219" i="11" s="1"/>
  <c r="S197" i="11" a="1"/>
  <c r="S197" i="11" s="1"/>
  <c r="S205" i="11" a="1"/>
  <c r="S205" i="11" s="1"/>
  <c r="S193" i="11" a="1"/>
  <c r="S193" i="11" s="1"/>
  <c r="S191" i="11" a="1"/>
  <c r="S191" i="11" s="1"/>
  <c r="S187" i="11" a="1"/>
  <c r="S187" i="11" s="1"/>
  <c r="S183" i="11" a="1"/>
  <c r="S183" i="11" s="1"/>
  <c r="S224" i="11" a="1"/>
  <c r="S224" i="11" s="1"/>
  <c r="S220" i="11" a="1"/>
  <c r="S220" i="11" s="1"/>
  <c r="S216" i="11" a="1"/>
  <c r="S216" i="11" s="1"/>
  <c r="S212" i="11" a="1"/>
  <c r="S212" i="11" s="1"/>
  <c r="S208" i="11" a="1"/>
  <c r="S208" i="11" s="1"/>
  <c r="P206" i="11" a="1"/>
  <c r="P206" i="11" s="1"/>
  <c r="P204" i="11" a="1"/>
  <c r="P204" i="11" s="1"/>
  <c r="P200" i="11" a="1"/>
  <c r="P200" i="11" s="1"/>
  <c r="P194" i="11" a="1"/>
  <c r="P194" i="11" s="1"/>
  <c r="P190" i="11" a="1"/>
  <c r="P190" i="11" s="1"/>
  <c r="P186" i="11" a="1"/>
  <c r="P186" i="11" s="1"/>
  <c r="P182" i="11" a="1"/>
  <c r="P182" i="11" s="1"/>
  <c r="P180" i="11" a="1"/>
  <c r="P180" i="11" s="1"/>
  <c r="P167" i="11" a="1"/>
  <c r="P167" i="11" s="1"/>
  <c r="P165" i="11" a="1"/>
  <c r="P165" i="11" s="1"/>
  <c r="P160" i="11" a="1"/>
  <c r="P160" i="11" s="1"/>
  <c r="P159" i="11" a="1"/>
  <c r="P159" i="11" s="1"/>
  <c r="P157" i="11" a="1"/>
  <c r="P157" i="11" s="1"/>
  <c r="P155" i="11" a="1"/>
  <c r="P155" i="11" s="1"/>
  <c r="P151" i="11" a="1"/>
  <c r="P151" i="11" s="1"/>
  <c r="P147" i="11" a="1"/>
  <c r="P147" i="11" s="1"/>
  <c r="P145" i="11" a="1"/>
  <c r="P145" i="11" s="1"/>
  <c r="P143" i="11" a="1"/>
  <c r="P143" i="11" s="1"/>
  <c r="P141" i="11" a="1"/>
  <c r="P141" i="11" s="1"/>
  <c r="P136" i="11" a="1"/>
  <c r="P136" i="11" s="1"/>
  <c r="P133" i="11" a="1"/>
  <c r="P133" i="11" s="1"/>
  <c r="P131" i="11" a="1"/>
  <c r="P131" i="11" s="1"/>
  <c r="P129" i="11" a="1"/>
  <c r="P129" i="11" s="1"/>
  <c r="P127" i="11" a="1"/>
  <c r="P127" i="11" s="1"/>
  <c r="P125" i="11" a="1"/>
  <c r="P125" i="11" s="1"/>
  <c r="S123" i="11" a="1"/>
  <c r="S123" i="11" s="1"/>
  <c r="S121" i="11" a="1"/>
  <c r="S121" i="11" s="1"/>
  <c r="S106" i="11" a="1"/>
  <c r="S106" i="11" s="1"/>
  <c r="S104" i="11" a="1"/>
  <c r="S104" i="11" s="1"/>
  <c r="S102" i="11" a="1"/>
  <c r="S102" i="11" s="1"/>
  <c r="S98" i="11" a="1"/>
  <c r="S98" i="11" s="1"/>
  <c r="S97" i="11" a="1"/>
  <c r="S97" i="11" s="1"/>
  <c r="S93" i="11" a="1"/>
  <c r="S93" i="11" s="1"/>
  <c r="P89" i="11" a="1"/>
  <c r="P89" i="11" s="1"/>
  <c r="P34" i="11" a="1"/>
  <c r="P34" i="11" s="1"/>
  <c r="P21" i="11" a="1"/>
  <c r="P21" i="11" s="1"/>
  <c r="P205" i="11" a="1"/>
  <c r="P205" i="11" s="1"/>
  <c r="P187" i="11" a="1"/>
  <c r="P187" i="11" s="1"/>
  <c r="P224" i="11" a="1"/>
  <c r="P224" i="11" s="1"/>
  <c r="P216" i="11" a="1"/>
  <c r="P216" i="11" s="1"/>
  <c r="P208" i="11" a="1"/>
  <c r="P208" i="11" s="1"/>
  <c r="S202" i="11" a="1"/>
  <c r="S202" i="11" s="1"/>
  <c r="S192" i="11" a="1"/>
  <c r="S192" i="11" s="1"/>
  <c r="S184" i="11" a="1"/>
  <c r="S184" i="11" s="1"/>
  <c r="S168" i="11" a="1"/>
  <c r="S168" i="11" s="1"/>
  <c r="S156" i="11" a="1"/>
  <c r="S156" i="11" s="1"/>
  <c r="S152" i="11" a="1"/>
  <c r="S152" i="11" s="1"/>
  <c r="S146" i="11" a="1"/>
  <c r="S146" i="11" s="1"/>
  <c r="S142" i="11" a="1"/>
  <c r="S142" i="11" s="1"/>
  <c r="S135" i="11" a="1"/>
  <c r="S135" i="11" s="1"/>
  <c r="S128" i="11" a="1"/>
  <c r="S128" i="11" s="1"/>
  <c r="P106" i="11" a="1"/>
  <c r="P106" i="11" s="1"/>
  <c r="P104" i="11" a="1"/>
  <c r="P104" i="11" s="1"/>
  <c r="S100" i="11" a="1"/>
  <c r="S100" i="11" s="1"/>
  <c r="P98" i="11" a="1"/>
  <c r="P98" i="11" s="1"/>
  <c r="S96" i="11" a="1"/>
  <c r="S96" i="11" s="1"/>
  <c r="P245" i="11" a="1"/>
  <c r="P245" i="11" s="1"/>
  <c r="P242" i="11" a="1"/>
  <c r="P242" i="11" s="1"/>
  <c r="P241" i="11" a="1"/>
  <c r="P241" i="11" s="1"/>
  <c r="P227" i="11" a="1"/>
  <c r="P227" i="11" s="1"/>
  <c r="P221" i="11" a="1"/>
  <c r="P221" i="11" s="1"/>
  <c r="P215" i="11" a="1"/>
  <c r="P215" i="11" s="1"/>
  <c r="P211" i="11" a="1"/>
  <c r="P211" i="11" s="1"/>
  <c r="P219" i="11" a="1"/>
  <c r="P219" i="11" s="1"/>
  <c r="P197" i="11" a="1"/>
  <c r="P197" i="11" s="1"/>
  <c r="P193" i="11" a="1"/>
  <c r="P193" i="11" s="1"/>
  <c r="P123" i="11" a="1"/>
  <c r="P123" i="11" s="1"/>
  <c r="S225" i="11" a="1"/>
  <c r="S225" i="11" s="1"/>
  <c r="S209" i="11" a="1"/>
  <c r="S209" i="11" s="1"/>
  <c r="S185" i="11" a="1"/>
  <c r="S185" i="11" s="1"/>
  <c r="S214" i="11" a="1"/>
  <c r="S214" i="11" s="1"/>
  <c r="P188" i="11" a="1"/>
  <c r="P188" i="11" s="1"/>
  <c r="P166" i="11" a="1"/>
  <c r="P166" i="11" s="1"/>
  <c r="P146" i="11" a="1"/>
  <c r="P146" i="11" s="1"/>
  <c r="P135" i="11" a="1"/>
  <c r="P135" i="11" s="1"/>
  <c r="P126" i="11" a="1"/>
  <c r="P126" i="11" s="1"/>
  <c r="S105" i="11" a="1"/>
  <c r="S105" i="11" s="1"/>
  <c r="P100" i="11" a="1"/>
  <c r="P100" i="11" s="1"/>
  <c r="S99" i="11" a="1"/>
  <c r="S99" i="11" s="1"/>
  <c r="S88" i="11" a="1"/>
  <c r="S88" i="11" s="1"/>
  <c r="S81" i="11" a="1"/>
  <c r="S81" i="11" s="1"/>
  <c r="S27" i="11" a="1"/>
  <c r="S27" i="11" s="1"/>
  <c r="S23" i="11" a="1"/>
  <c r="S23" i="11" s="1"/>
  <c r="S217" i="11" a="1"/>
  <c r="S217" i="11" s="1"/>
  <c r="S195" i="11" a="1"/>
  <c r="S195" i="11" s="1"/>
  <c r="S226" i="11" a="1"/>
  <c r="S226" i="11" s="1"/>
  <c r="S210" i="11" a="1"/>
  <c r="S210" i="11" s="1"/>
  <c r="P184" i="11" a="1"/>
  <c r="P184" i="11" s="1"/>
  <c r="P158" i="11" a="1"/>
  <c r="P158" i="11" s="1"/>
  <c r="P144" i="11" a="1"/>
  <c r="P144" i="11" s="1"/>
  <c r="P132" i="11" a="1"/>
  <c r="P132" i="11" s="1"/>
  <c r="S124" i="11" a="1"/>
  <c r="S124" i="11" s="1"/>
  <c r="S94" i="11" a="1"/>
  <c r="S94" i="11" s="1"/>
  <c r="S28" i="11" a="1"/>
  <c r="S28" i="11" s="1"/>
  <c r="S24" i="11" a="1"/>
  <c r="S24" i="11" s="1"/>
  <c r="P192" i="11" a="1"/>
  <c r="P192" i="11" s="1"/>
  <c r="S244" i="11" a="1"/>
  <c r="S244" i="11" s="1"/>
  <c r="P202" i="11" a="1"/>
  <c r="P202" i="11" s="1"/>
  <c r="S103" i="11" a="1"/>
  <c r="S103" i="11" s="1"/>
  <c r="P96" i="11" a="1"/>
  <c r="P96" i="11" s="1"/>
  <c r="S85" i="11" a="1"/>
  <c r="S85" i="11" s="1"/>
  <c r="S240" i="11" a="1"/>
  <c r="S240" i="11" s="1"/>
  <c r="S207" i="11" a="1"/>
  <c r="S207" i="11" s="1"/>
  <c r="S189" i="11" a="1"/>
  <c r="S189" i="11" s="1"/>
  <c r="S218" i="11" a="1"/>
  <c r="S218" i="11" s="1"/>
  <c r="P150" i="11" a="1"/>
  <c r="P150" i="11" s="1"/>
  <c r="P140" i="11" a="1"/>
  <c r="P140" i="11" s="1"/>
  <c r="P128" i="11" a="1"/>
  <c r="P128" i="11" s="1"/>
  <c r="S87" i="11" a="1"/>
  <c r="S87" i="11" s="1"/>
  <c r="S26" i="11" a="1"/>
  <c r="S26" i="11" s="1"/>
  <c r="S22" i="11" a="1"/>
  <c r="S22" i="11" s="1"/>
  <c r="S243" i="11" a="1"/>
  <c r="S243" i="11" s="1"/>
  <c r="S213" i="11" a="1"/>
  <c r="S213" i="11" s="1"/>
  <c r="S223" i="11" a="1"/>
  <c r="S223" i="11" s="1"/>
  <c r="S203" i="11" a="1"/>
  <c r="S203" i="11" s="1"/>
  <c r="S222" i="11" a="1"/>
  <c r="S222" i="11" s="1"/>
  <c r="P196" i="11" a="1"/>
  <c r="P196" i="11" s="1"/>
  <c r="P181" i="11" a="1"/>
  <c r="P181" i="11" s="1"/>
  <c r="P156" i="11" a="1"/>
  <c r="P156" i="11" s="1"/>
  <c r="P152" i="11" a="1"/>
  <c r="P152" i="11" s="1"/>
  <c r="P142" i="11" a="1"/>
  <c r="P142" i="11" s="1"/>
  <c r="P130" i="11" a="1"/>
  <c r="P130" i="11" s="1"/>
  <c r="S122" i="11" a="1"/>
  <c r="S122" i="11" s="1"/>
  <c r="S101" i="11" a="1"/>
  <c r="S101" i="11" s="1"/>
  <c r="S86" i="11" a="1"/>
  <c r="S86" i="11" s="1"/>
  <c r="S79" i="11" a="1"/>
  <c r="S79" i="11" s="1"/>
  <c r="S25" i="11" a="1"/>
  <c r="S25" i="11" s="1"/>
  <c r="S21" i="11" a="1"/>
  <c r="S21" i="11" s="1"/>
  <c r="S201" i="11" a="1"/>
  <c r="S201" i="11" s="1"/>
  <c r="P168" i="11" a="1"/>
  <c r="P168" i="11" s="1"/>
  <c r="P153" i="11" a="1"/>
  <c r="P153" i="11" s="1"/>
  <c r="S107" i="11" a="1"/>
  <c r="S107" i="11" s="1"/>
  <c r="S95" i="11" a="1"/>
  <c r="S95" i="11" s="1"/>
  <c r="S80" i="11" a="1"/>
  <c r="S80" i="11" s="1"/>
  <c r="S33" i="11" a="1"/>
  <c r="S33" i="11" s="1"/>
  <c r="P198" i="11" a="1"/>
  <c r="P198" i="11" s="1"/>
  <c r="P148" i="11" a="1"/>
  <c r="P148" i="11" s="1"/>
  <c r="S236" i="11" a="1"/>
  <c r="S236" i="11" s="1"/>
  <c r="S154" i="11" a="1"/>
  <c r="S154" i="11" s="1"/>
  <c r="S74" i="11" a="1"/>
  <c r="S74" i="11" s="1"/>
  <c r="P176" i="11" a="1"/>
  <c r="P176" i="11" s="1"/>
  <c r="P73" i="11" a="1"/>
  <c r="P73" i="11" s="1"/>
  <c r="P117" i="11" a="1"/>
  <c r="P117" i="11" s="1"/>
  <c r="P75" i="11" a="1"/>
  <c r="P75" i="11" s="1"/>
  <c r="S199" i="11" a="1"/>
  <c r="S199" i="11" s="1"/>
  <c r="S176" i="11" a="1"/>
  <c r="S176" i="11" s="1"/>
  <c r="S149" i="11" a="1"/>
  <c r="S149" i="11" s="1"/>
  <c r="S134" i="11" a="1"/>
  <c r="S134" i="11" s="1"/>
  <c r="S73" i="11" a="1"/>
  <c r="S73" i="11" s="1"/>
  <c r="S16" i="11" a="1"/>
  <c r="S16" i="11" s="1"/>
  <c r="P236" i="11" a="1"/>
  <c r="P236" i="11" s="1"/>
  <c r="P154" i="11" a="1"/>
  <c r="P154" i="11" s="1"/>
  <c r="P74" i="11" a="1"/>
  <c r="P74" i="11" s="1"/>
  <c r="P16" i="11" a="1"/>
  <c r="P16" i="11" s="1"/>
  <c r="S198" i="11" a="1"/>
  <c r="S198" i="11" s="1"/>
  <c r="S148" i="11" a="1"/>
  <c r="S148" i="11" s="1"/>
  <c r="P199" i="11" a="1"/>
  <c r="P199" i="11" s="1"/>
  <c r="P149" i="11" a="1"/>
  <c r="P149" i="11" s="1"/>
  <c r="P134" i="11" a="1"/>
  <c r="P134" i="11" s="1"/>
  <c r="S117" i="11" a="1"/>
  <c r="S117" i="11" s="1"/>
  <c r="S75" i="11" a="1"/>
  <c r="S75" i="11" s="1"/>
  <c r="H50" i="26"/>
  <c r="F63" i="26"/>
  <c r="T50" i="26"/>
  <c r="AN63" i="26"/>
  <c r="O74" i="26"/>
  <c r="Q74" i="26" s="1"/>
  <c r="AI50" i="26"/>
  <c r="AF51" i="26"/>
  <c r="AB64" i="26"/>
  <c r="V64" i="26"/>
  <c r="R51" i="26"/>
  <c r="AE51" i="26"/>
  <c r="J20" i="24"/>
  <c r="L20" i="24" s="1"/>
  <c r="E61" i="26"/>
  <c r="AD61" i="26"/>
  <c r="AK61" i="26"/>
  <c r="M49" i="26"/>
  <c r="Q49" i="26"/>
  <c r="H49" i="26"/>
  <c r="K62" i="26"/>
  <c r="T49" i="26"/>
  <c r="U49" i="26"/>
  <c r="AN49" i="26"/>
  <c r="V62" i="26"/>
  <c r="AE49" i="26"/>
  <c r="AO49" i="26"/>
  <c r="AF62" i="26"/>
  <c r="AP62" i="26"/>
  <c r="AG62" i="26"/>
  <c r="AQ62" i="26"/>
  <c r="J49" i="26"/>
  <c r="R62" i="26"/>
  <c r="L53" i="26"/>
  <c r="P49" i="26"/>
  <c r="AI62" i="26"/>
  <c r="Y49" i="26"/>
  <c r="Q62" i="26"/>
  <c r="AD62" i="26"/>
  <c r="AJ49" i="26"/>
  <c r="AA49" i="26"/>
  <c r="AK62" i="26"/>
  <c r="AB62" i="26"/>
  <c r="AL62" i="26"/>
  <c r="E62" i="26"/>
  <c r="L49" i="26"/>
  <c r="G62" i="26"/>
  <c r="O62" i="26"/>
  <c r="P62" i="26"/>
  <c r="AD49" i="26"/>
  <c r="V49" i="26"/>
  <c r="AN62" i="26"/>
  <c r="AJ62" i="26"/>
  <c r="AF49" i="26"/>
  <c r="AP49" i="26"/>
  <c r="AG49" i="26"/>
  <c r="AQ49" i="26"/>
  <c r="J62" i="26"/>
  <c r="W61" i="26"/>
  <c r="M61" i="26"/>
  <c r="Q61" i="26"/>
  <c r="Z61" i="26"/>
  <c r="AQ61" i="26"/>
  <c r="L19" i="24"/>
  <c r="J17" i="24"/>
  <c r="L17" i="24" s="1"/>
  <c r="Y61" i="26"/>
  <c r="O61" i="26"/>
  <c r="AA61" i="26"/>
  <c r="AE64" i="26"/>
  <c r="N75" i="26"/>
  <c r="Q75" i="26" s="1"/>
  <c r="X75" i="26" s="1"/>
  <c r="G78" i="26" s="1"/>
  <c r="G51" i="26"/>
  <c r="M64" i="26"/>
  <c r="E51" i="26"/>
  <c r="F64" i="26"/>
  <c r="U51" i="26"/>
  <c r="Y64" i="26"/>
  <c r="AO51" i="26"/>
  <c r="AP51" i="26"/>
  <c r="AL64" i="26"/>
  <c r="L51" i="26"/>
  <c r="Y48" i="26"/>
  <c r="J64" i="26"/>
  <c r="AN48" i="26"/>
  <c r="AJ61" i="26"/>
  <c r="AG61" i="26"/>
  <c r="AD64" i="26"/>
  <c r="Q64" i="26"/>
  <c r="AF64" i="26"/>
  <c r="AG51" i="26"/>
  <c r="K51" i="26"/>
  <c r="T47" i="26"/>
  <c r="P51" i="26"/>
  <c r="Y51" i="26"/>
  <c r="AI64" i="26"/>
  <c r="AO64" i="26"/>
  <c r="AP64" i="26"/>
  <c r="AQ51" i="26"/>
  <c r="L64" i="26"/>
  <c r="Q51" i="26"/>
  <c r="J25" i="24"/>
  <c r="L25" i="24" s="1"/>
  <c r="O48" i="26"/>
  <c r="F61" i="26"/>
  <c r="K48" i="26"/>
  <c r="J48" i="26"/>
  <c r="T48" i="26"/>
  <c r="P61" i="26"/>
  <c r="AN61" i="26"/>
  <c r="V48" i="26"/>
  <c r="AE48" i="26"/>
  <c r="AO48" i="26"/>
  <c r="AF48" i="26"/>
  <c r="AP48" i="26"/>
  <c r="AB48" i="26"/>
  <c r="AL48" i="26"/>
  <c r="M48" i="26"/>
  <c r="L61" i="26"/>
  <c r="L48" i="26"/>
  <c r="G48" i="26"/>
  <c r="Q48" i="26"/>
  <c r="F48" i="26"/>
  <c r="Z48" i="26"/>
  <c r="U48" i="26"/>
  <c r="H61" i="26"/>
  <c r="U61" i="26"/>
  <c r="AE61" i="26"/>
  <c r="AO61" i="26"/>
  <c r="AF61" i="26"/>
  <c r="AP61" i="26"/>
  <c r="AB61" i="26"/>
  <c r="AL61" i="26"/>
  <c r="E48" i="26"/>
  <c r="V61" i="26"/>
  <c r="G61" i="26"/>
  <c r="H48" i="26"/>
  <c r="R61" i="26"/>
  <c r="K61" i="26"/>
  <c r="AI61" i="26"/>
  <c r="J61" i="26"/>
  <c r="P48" i="26"/>
  <c r="AD48" i="26"/>
  <c r="T61" i="26"/>
  <c r="R48" i="26"/>
  <c r="AI48" i="26"/>
  <c r="AJ48" i="26"/>
  <c r="AA48" i="26"/>
  <c r="AK48" i="26"/>
  <c r="W48" i="26"/>
  <c r="AG48" i="26"/>
  <c r="H60" i="26"/>
  <c r="AI60" i="26"/>
  <c r="J47" i="26"/>
  <c r="AD60" i="26"/>
  <c r="AD50" i="26"/>
  <c r="Y50" i="26"/>
  <c r="AE50" i="26"/>
  <c r="J63" i="26"/>
  <c r="AA50" i="26"/>
  <c r="L63" i="26"/>
  <c r="Y63" i="26"/>
  <c r="W50" i="26"/>
  <c r="AP63" i="26"/>
  <c r="U50" i="26"/>
  <c r="AB63" i="26"/>
  <c r="V50" i="26"/>
  <c r="AQ63" i="26"/>
  <c r="AN50" i="26"/>
  <c r="E63" i="26"/>
  <c r="M63" i="26"/>
  <c r="AO60" i="26"/>
  <c r="G50" i="26"/>
  <c r="O51" i="26"/>
  <c r="O64" i="26"/>
  <c r="AN64" i="26"/>
  <c r="AI51" i="26"/>
  <c r="V51" i="26"/>
  <c r="Z51" i="26"/>
  <c r="AJ51" i="26"/>
  <c r="AA51" i="26"/>
  <c r="AK51" i="26"/>
  <c r="W64" i="26"/>
  <c r="AG64" i="26"/>
  <c r="AQ64" i="26"/>
  <c r="W51" i="26"/>
  <c r="G64" i="26"/>
  <c r="L50" i="26"/>
  <c r="AJ63" i="26"/>
  <c r="K64" i="26"/>
  <c r="U64" i="26"/>
  <c r="N77" i="26"/>
  <c r="Q77" i="26" s="1"/>
  <c r="W77" i="26" s="1"/>
  <c r="I77" i="26" s="1"/>
  <c r="AG50" i="26"/>
  <c r="R63" i="26"/>
  <c r="P50" i="26"/>
  <c r="AO63" i="26"/>
  <c r="U63" i="26"/>
  <c r="AD63" i="26"/>
  <c r="AP50" i="26"/>
  <c r="AI63" i="26"/>
  <c r="W63" i="26"/>
  <c r="R50" i="26"/>
  <c r="G60" i="26"/>
  <c r="V47" i="26"/>
  <c r="AN51" i="26"/>
  <c r="M51" i="26"/>
  <c r="T51" i="26"/>
  <c r="P64" i="26"/>
  <c r="H64" i="26"/>
  <c r="T64" i="26"/>
  <c r="Z64" i="26"/>
  <c r="AJ64" i="26"/>
  <c r="AA64" i="26"/>
  <c r="AK64" i="26"/>
  <c r="AB51" i="26"/>
  <c r="AL51" i="26"/>
  <c r="P47" i="26"/>
  <c r="H51" i="26"/>
  <c r="AA63" i="26"/>
  <c r="E64" i="26"/>
  <c r="R64" i="26"/>
  <c r="J51" i="26"/>
  <c r="F51" i="26"/>
  <c r="O63" i="26"/>
  <c r="Z63" i="26"/>
  <c r="AB50" i="26"/>
  <c r="J50" i="26"/>
  <c r="AF63" i="26"/>
  <c r="H63" i="26"/>
  <c r="Q50" i="26"/>
  <c r="M50" i="26"/>
  <c r="K50" i="26"/>
  <c r="AL63" i="26"/>
  <c r="AO50" i="26"/>
  <c r="P63" i="26"/>
  <c r="AG63" i="26"/>
  <c r="AJ50" i="26"/>
  <c r="Z50" i="26"/>
  <c r="T63" i="26"/>
  <c r="Q63" i="26"/>
  <c r="AK63" i="26"/>
  <c r="G63" i="26"/>
  <c r="M62" i="26"/>
  <c r="AI49" i="26"/>
  <c r="O49" i="26"/>
  <c r="K49" i="26"/>
  <c r="Y62" i="26"/>
  <c r="H62" i="26"/>
  <c r="Z62" i="26"/>
  <c r="AA62" i="26"/>
  <c r="AB49" i="26"/>
  <c r="F49" i="26"/>
  <c r="AE67" i="26"/>
  <c r="Z47" i="26"/>
  <c r="AA47" i="26"/>
  <c r="AJ54" i="26"/>
  <c r="AP47" i="26"/>
  <c r="AD47" i="26"/>
  <c r="AB67" i="26"/>
  <c r="K67" i="26"/>
  <c r="T66" i="26"/>
  <c r="AI53" i="26"/>
  <c r="Y66" i="26"/>
  <c r="O53" i="26"/>
  <c r="K53" i="26"/>
  <c r="AJ53" i="26"/>
  <c r="AA53" i="26"/>
  <c r="AO67" i="26"/>
  <c r="W54" i="26"/>
  <c r="T67" i="26"/>
  <c r="K54" i="26"/>
  <c r="AN54" i="26"/>
  <c r="Q67" i="26"/>
  <c r="O60" i="26"/>
  <c r="Y60" i="26"/>
  <c r="R60" i="26"/>
  <c r="AL47" i="26"/>
  <c r="Q47" i="26"/>
  <c r="P54" i="26"/>
  <c r="AN67" i="26"/>
  <c r="Y54" i="26"/>
  <c r="T65" i="26"/>
  <c r="Z54" i="26"/>
  <c r="AJ67" i="26"/>
  <c r="Z67" i="26"/>
  <c r="L54" i="26"/>
  <c r="AO47" i="26"/>
  <c r="AQ47" i="26"/>
  <c r="AF54" i="26"/>
  <c r="Q54" i="26"/>
  <c r="E54" i="26"/>
  <c r="V54" i="26"/>
  <c r="AF47" i="26"/>
  <c r="U47" i="26"/>
  <c r="AP54" i="26"/>
  <c r="L67" i="26"/>
  <c r="V67" i="26"/>
  <c r="N80" i="26"/>
  <c r="A54" i="26" s="1"/>
  <c r="AG67" i="26"/>
  <c r="AL54" i="26"/>
  <c r="U54" i="26"/>
  <c r="AL60" i="26"/>
  <c r="AF60" i="26"/>
  <c r="W60" i="26"/>
  <c r="Y47" i="26"/>
  <c r="H67" i="26"/>
  <c r="H66" i="26"/>
  <c r="W66" i="26"/>
  <c r="AL52" i="26"/>
  <c r="U65" i="26"/>
  <c r="AJ65" i="26"/>
  <c r="AQ67" i="26"/>
  <c r="AI67" i="26"/>
  <c r="R67" i="26"/>
  <c r="M67" i="26"/>
  <c r="I24" i="24"/>
  <c r="L24" i="24" s="1"/>
  <c r="AK53" i="26"/>
  <c r="AK65" i="26"/>
  <c r="P67" i="26"/>
  <c r="AQ54" i="26"/>
  <c r="Y67" i="26"/>
  <c r="M60" i="26"/>
  <c r="O54" i="26"/>
  <c r="J23" i="24"/>
  <c r="L23" i="24" s="1"/>
  <c r="W67" i="26"/>
  <c r="T54" i="26"/>
  <c r="M54" i="26"/>
  <c r="AG54" i="26"/>
  <c r="AI54" i="26"/>
  <c r="F54" i="26"/>
  <c r="AB54" i="26"/>
  <c r="U67" i="26"/>
  <c r="M47" i="26"/>
  <c r="H47" i="26"/>
  <c r="AP60" i="26"/>
  <c r="AQ60" i="26"/>
  <c r="M53" i="26"/>
  <c r="Z60" i="26"/>
  <c r="AD54" i="26"/>
  <c r="K65" i="26"/>
  <c r="V53" i="26"/>
  <c r="AB53" i="26"/>
  <c r="K66" i="26"/>
  <c r="U53" i="26"/>
  <c r="R54" i="26"/>
  <c r="AL67" i="26"/>
  <c r="AK54" i="26"/>
  <c r="H54" i="26"/>
  <c r="F67" i="26"/>
  <c r="G54" i="26"/>
  <c r="AA60" i="26"/>
  <c r="Z53" i="26"/>
  <c r="AA66" i="26"/>
  <c r="M66" i="26"/>
  <c r="J54" i="26"/>
  <c r="AP67" i="26"/>
  <c r="O67" i="26"/>
  <c r="AK67" i="26"/>
  <c r="AE54" i="26"/>
  <c r="AG66" i="26"/>
  <c r="G67" i="26"/>
  <c r="AA54" i="26"/>
  <c r="AF67" i="26"/>
  <c r="J67" i="26"/>
  <c r="AA67" i="26"/>
  <c r="AI47" i="26"/>
  <c r="E47" i="26"/>
  <c r="G47" i="26"/>
  <c r="O47" i="26"/>
  <c r="E67" i="26"/>
  <c r="AB47" i="26"/>
  <c r="Q53" i="26"/>
  <c r="AO54" i="26"/>
  <c r="F66" i="26"/>
  <c r="Z66" i="26"/>
  <c r="AQ66" i="26"/>
  <c r="F65" i="26"/>
  <c r="N79" i="26"/>
  <c r="A53" i="26" s="1"/>
  <c r="AL65" i="26"/>
  <c r="E65" i="26"/>
  <c r="M52" i="26"/>
  <c r="E53" i="26"/>
  <c r="Y53" i="26"/>
  <c r="AI66" i="26"/>
  <c r="R53" i="26"/>
  <c r="AE53" i="26"/>
  <c r="AF53" i="26"/>
  <c r="AB66" i="26"/>
  <c r="Q52" i="26"/>
  <c r="J65" i="26"/>
  <c r="O65" i="26"/>
  <c r="AN65" i="26"/>
  <c r="AI52" i="26"/>
  <c r="AO65" i="26"/>
  <c r="AP65" i="26"/>
  <c r="AQ52" i="26"/>
  <c r="Y52" i="26"/>
  <c r="G66" i="26"/>
  <c r="E66" i="26"/>
  <c r="G53" i="26"/>
  <c r="P66" i="26"/>
  <c r="Q66" i="26"/>
  <c r="AE66" i="26"/>
  <c r="AF66" i="26"/>
  <c r="AG53" i="26"/>
  <c r="T52" i="26"/>
  <c r="M65" i="26"/>
  <c r="Z52" i="26"/>
  <c r="AA52" i="26"/>
  <c r="W65" i="26"/>
  <c r="AQ65" i="26"/>
  <c r="AD65" i="26"/>
  <c r="AD52" i="26"/>
  <c r="AB52" i="26"/>
  <c r="AP52" i="26"/>
  <c r="AI65" i="26"/>
  <c r="Z65" i="26"/>
  <c r="N78" i="26"/>
  <c r="Q78" i="26" s="1"/>
  <c r="X78" i="26" s="1"/>
  <c r="J78" i="26" s="1"/>
  <c r="K52" i="26"/>
  <c r="V66" i="26"/>
  <c r="AL53" i="26"/>
  <c r="R52" i="26"/>
  <c r="AE52" i="26"/>
  <c r="AF52" i="26"/>
  <c r="AB65" i="26"/>
  <c r="E52" i="26"/>
  <c r="AO52" i="26"/>
  <c r="R66" i="26"/>
  <c r="V65" i="26"/>
  <c r="P53" i="26"/>
  <c r="AJ66" i="26"/>
  <c r="AN52" i="26"/>
  <c r="O52" i="26"/>
  <c r="L65" i="26"/>
  <c r="H53" i="26"/>
  <c r="O66" i="26"/>
  <c r="AD53" i="26"/>
  <c r="AD66" i="26"/>
  <c r="AO53" i="26"/>
  <c r="AP53" i="26"/>
  <c r="AL66" i="26"/>
  <c r="Y65" i="26"/>
  <c r="J53" i="26"/>
  <c r="F52" i="26"/>
  <c r="P65" i="26"/>
  <c r="Q65" i="26"/>
  <c r="AE65" i="26"/>
  <c r="AF65" i="26"/>
  <c r="AG52" i="26"/>
  <c r="P52" i="26"/>
  <c r="W52" i="26"/>
  <c r="H65" i="26"/>
  <c r="AA65" i="26"/>
  <c r="J66" i="26"/>
  <c r="L52" i="26"/>
  <c r="H52" i="26"/>
  <c r="U66" i="26"/>
  <c r="AK66" i="26"/>
  <c r="G65" i="26"/>
  <c r="R65" i="26"/>
  <c r="L66" i="26"/>
  <c r="T53" i="26"/>
  <c r="AN53" i="26"/>
  <c r="AN66" i="26"/>
  <c r="AO66" i="26"/>
  <c r="AP66" i="26"/>
  <c r="AQ53" i="26"/>
  <c r="J52" i="26"/>
  <c r="F53" i="26"/>
  <c r="U52" i="26"/>
  <c r="V52" i="26"/>
  <c r="AJ52" i="26"/>
  <c r="AK52" i="26"/>
  <c r="AG65" i="26"/>
  <c r="J21" i="24"/>
  <c r="L21" i="24" s="1"/>
  <c r="N76" i="26"/>
  <c r="A50" i="26" s="1"/>
  <c r="O73" i="26"/>
  <c r="J22" i="24"/>
  <c r="L22" i="24" s="1"/>
  <c r="O72" i="26"/>
  <c r="A46" i="26" s="1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W74" i="26" l="1"/>
  <c r="F77" i="26" s="1"/>
  <c r="S74" i="26"/>
  <c r="F73" i="26" s="1"/>
  <c r="Y74" i="26"/>
  <c r="A48" i="26"/>
  <c r="X74" i="26"/>
  <c r="F78" i="26" s="1"/>
  <c r="Z74" i="26"/>
  <c r="F80" i="26" s="1"/>
  <c r="V74" i="26"/>
  <c r="F76" i="26" s="1"/>
  <c r="F93" i="26" s="1"/>
  <c r="T74" i="26"/>
  <c r="F74" i="26" s="1"/>
  <c r="F86" i="26" s="1"/>
  <c r="A49" i="26"/>
  <c r="U74" i="26"/>
  <c r="F85" i="26" s="1"/>
  <c r="Y77" i="26"/>
  <c r="I87" i="26" s="1"/>
  <c r="U77" i="26"/>
  <c r="I75" i="26" s="1"/>
  <c r="T77" i="26"/>
  <c r="J73" i="26" s="1"/>
  <c r="X77" i="26"/>
  <c r="I78" i="26" s="1"/>
  <c r="Z77" i="26"/>
  <c r="I80" i="26" s="1"/>
  <c r="A51" i="26"/>
  <c r="V77" i="26"/>
  <c r="I76" i="26" s="1"/>
  <c r="S77" i="26"/>
  <c r="I73" i="26" s="1"/>
  <c r="Q80" i="26"/>
  <c r="V80" i="26" s="1"/>
  <c r="L76" i="26" s="1"/>
  <c r="W78" i="26"/>
  <c r="J77" i="26" s="1"/>
  <c r="U78" i="26"/>
  <c r="J75" i="26" s="1"/>
  <c r="Q79" i="26"/>
  <c r="Z79" i="26" s="1"/>
  <c r="K80" i="26" s="1"/>
  <c r="A52" i="26"/>
  <c r="Y78" i="26"/>
  <c r="J87" i="26" s="1"/>
  <c r="Z78" i="26"/>
  <c r="J80" i="26" s="1"/>
  <c r="S78" i="26"/>
  <c r="T78" i="26"/>
  <c r="J74" i="26" s="1"/>
  <c r="V78" i="26"/>
  <c r="J76" i="26" s="1"/>
  <c r="Q76" i="26"/>
  <c r="S76" i="26" s="1"/>
  <c r="H73" i="26" s="1"/>
  <c r="X79" i="26"/>
  <c r="K78" i="26" s="1"/>
  <c r="Q72" i="26"/>
  <c r="X72" i="26" s="1"/>
  <c r="D78" i="26" s="1"/>
  <c r="F88" i="26"/>
  <c r="Y75" i="26"/>
  <c r="G87" i="26" s="1"/>
  <c r="U75" i="26"/>
  <c r="G75" i="26" s="1"/>
  <c r="S75" i="26"/>
  <c r="G73" i="26" s="1"/>
  <c r="V75" i="26"/>
  <c r="G76" i="26" s="1"/>
  <c r="G93" i="26" s="1"/>
  <c r="T75" i="26"/>
  <c r="G74" i="26" s="1"/>
  <c r="A47" i="26"/>
  <c r="Q73" i="26"/>
  <c r="X73" i="26" s="1"/>
  <c r="E78" i="26" s="1"/>
  <c r="Z75" i="26"/>
  <c r="G80" i="26" s="1"/>
  <c r="W75" i="26"/>
  <c r="G77" i="26" s="1"/>
  <c r="F87" i="26"/>
  <c r="F79" i="26"/>
  <c r="F94" i="26"/>
  <c r="I79" i="26" l="1"/>
  <c r="W80" i="26"/>
  <c r="L77" i="26" s="1"/>
  <c r="X80" i="26"/>
  <c r="L78" i="26" s="1"/>
  <c r="F99" i="26"/>
  <c r="I74" i="26"/>
  <c r="I88" i="26" s="1"/>
  <c r="F75" i="26"/>
  <c r="Y80" i="26"/>
  <c r="L87" i="26" s="1"/>
  <c r="T80" i="26"/>
  <c r="S80" i="26"/>
  <c r="L73" i="26" s="1"/>
  <c r="U80" i="26"/>
  <c r="L75" i="26" s="1"/>
  <c r="I93" i="26"/>
  <c r="Z80" i="26"/>
  <c r="L80" i="26" s="1"/>
  <c r="I85" i="26"/>
  <c r="I94" i="26"/>
  <c r="J79" i="26"/>
  <c r="J93" i="26"/>
  <c r="T79" i="26"/>
  <c r="K74" i="26" s="1"/>
  <c r="K88" i="26" s="1"/>
  <c r="W79" i="26"/>
  <c r="K77" i="26" s="1"/>
  <c r="J85" i="26"/>
  <c r="J94" i="26"/>
  <c r="K94" i="26"/>
  <c r="G79" i="26"/>
  <c r="U79" i="26"/>
  <c r="J86" i="26"/>
  <c r="J99" i="26" s="1"/>
  <c r="S79" i="26"/>
  <c r="K73" i="26" s="1"/>
  <c r="V79" i="26"/>
  <c r="K76" i="26" s="1"/>
  <c r="Y79" i="26"/>
  <c r="J88" i="26"/>
  <c r="J100" i="26" s="1"/>
  <c r="F100" i="26"/>
  <c r="X76" i="26"/>
  <c r="H78" i="26" s="1"/>
  <c r="W76" i="26"/>
  <c r="H77" i="26" s="1"/>
  <c r="Y76" i="26"/>
  <c r="H79" i="26" s="1"/>
  <c r="V76" i="26"/>
  <c r="H76" i="26" s="1"/>
  <c r="H93" i="26" s="1"/>
  <c r="U76" i="26"/>
  <c r="H85" i="26" s="1"/>
  <c r="Z76" i="26"/>
  <c r="H80" i="26" s="1"/>
  <c r="H94" i="26" s="1"/>
  <c r="T76" i="26"/>
  <c r="H74" i="26" s="1"/>
  <c r="H88" i="26" s="1"/>
  <c r="G85" i="26"/>
  <c r="V72" i="26"/>
  <c r="D76" i="26" s="1"/>
  <c r="V73" i="26"/>
  <c r="E76" i="26" s="1"/>
  <c r="E93" i="26" s="1"/>
  <c r="Y72" i="26"/>
  <c r="D79" i="26" s="1"/>
  <c r="U72" i="26"/>
  <c r="D85" i="26" s="1"/>
  <c r="Z72" i="26"/>
  <c r="D80" i="26" s="1"/>
  <c r="W72" i="26"/>
  <c r="D77" i="26" s="1"/>
  <c r="S72" i="26"/>
  <c r="D73" i="26" s="1"/>
  <c r="T72" i="26"/>
  <c r="D74" i="26" s="1"/>
  <c r="G94" i="26"/>
  <c r="T73" i="26"/>
  <c r="E74" i="26" s="1"/>
  <c r="W73" i="26"/>
  <c r="E77" i="26" s="1"/>
  <c r="Z73" i="26"/>
  <c r="E80" i="26" s="1"/>
  <c r="S73" i="26"/>
  <c r="E73" i="26" s="1"/>
  <c r="U73" i="26"/>
  <c r="Y73" i="26"/>
  <c r="G88" i="26"/>
  <c r="G86" i="26"/>
  <c r="L93" i="26"/>
  <c r="N19" i="24"/>
  <c r="L79" i="26" l="1"/>
  <c r="I86" i="26"/>
  <c r="L85" i="26"/>
  <c r="L74" i="26"/>
  <c r="L94" i="26"/>
  <c r="K100" i="26"/>
  <c r="K86" i="26"/>
  <c r="K99" i="26" s="1"/>
  <c r="K93" i="26"/>
  <c r="K85" i="26"/>
  <c r="K75" i="26"/>
  <c r="K87" i="26"/>
  <c r="K79" i="26"/>
  <c r="H100" i="26"/>
  <c r="H86" i="26"/>
  <c r="H87" i="26"/>
  <c r="H75" i="26"/>
  <c r="D87" i="26"/>
  <c r="D75" i="26"/>
  <c r="D93" i="26"/>
  <c r="D94" i="26"/>
  <c r="D88" i="26"/>
  <c r="D86" i="26"/>
  <c r="E85" i="26"/>
  <c r="E75" i="26"/>
  <c r="E79" i="26"/>
  <c r="E87" i="26"/>
  <c r="E94" i="26"/>
  <c r="G99" i="26"/>
  <c r="E86" i="26"/>
  <c r="E88" i="26"/>
  <c r="G100" i="26"/>
  <c r="N23" i="24"/>
  <c r="I100" i="26"/>
  <c r="I99" i="26"/>
  <c r="L88" i="26"/>
  <c r="L86" i="26" l="1"/>
  <c r="L99" i="26" s="1"/>
  <c r="N24" i="24"/>
  <c r="H99" i="26"/>
  <c r="N21" i="24" s="1"/>
  <c r="D99" i="26"/>
  <c r="D100" i="26"/>
  <c r="N20" i="24"/>
  <c r="E100" i="26"/>
  <c r="E99" i="26"/>
  <c r="L100" i="26"/>
  <c r="N22" i="24"/>
  <c r="N17" i="24" l="1"/>
  <c r="N18" i="24"/>
  <c r="N25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<sst xmlns="http://schemas.openxmlformats.org/spreadsheetml/2006/main" count="3342" uniqueCount="599">
  <si>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</si>
  <si>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</si>
  <si>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</si>
  <si>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</si>
  <si>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</si>
  <si>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</si>
  <si>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</si>
  <si>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</si>
  <si>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</si>
  <si>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</si>
  <si>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</si>
  <si>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</si>
  <si>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</si>
  <si>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</si>
  <si>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</si>
  <si>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</si>
  <si>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</si>
  <si>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</si>
  <si>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</si>
  <si>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</si>
  <si>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</si>
  <si>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</si>
  <si>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</si>
  <si>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</si>
  <si>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</si>
  <si>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</si>
  <si>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</si>
  <si>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</si>
  <si>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</si>
  <si>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</si>
  <si>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</si>
  <si>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N1K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</si>
  <si>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</si>
  <si>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</si>
  <si>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</si>
  <si>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</si>
  <si>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</si>
  <si>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</si>
  <si>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</si>
  <si>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</si>
  <si>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</si>
  <si>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</si>
  <si>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</si>
  <si>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</si>
  <si>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</si>
  <si>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</si>
  <si>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</si>
  <si>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</si>
  <si>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</si>
  <si>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</si>
  <si>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</si>
  <si>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</si>
  <si>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</si>
  <si>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</si>
  <si>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</si>
  <si>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</si>
  <si>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</si>
  <si>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</si>
  <si>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</si>
  <si>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</si>
  <si>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</si>
  <si>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</si>
  <si>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</si>
  <si>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</si>
  <si>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</si>
  <si>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</si>
  <si>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</si>
  <si>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</si>
  <si>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</si>
  <si>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</si>
  <si>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</si>
  <si>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</si>
  <si>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</si>
  <si>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</si>
  <si>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</si>
  <si>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</si>
  <si>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</si>
  <si>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</si>
  <si>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</si>
  <si>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</si>
  <si>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</si>
  <si>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</si>
  <si>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</si>
  <si>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</si>
  <si>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</si>
  <si>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</si>
  <si>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</si>
  <si>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</si>
  <si>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</si>
  <si>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</si>
  <si>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</si>
  <si>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</si>
  <si>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</si>
  <si>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</si>
  <si>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DefaultCustomer</t>
  </si>
  <si>
    <t>ENGINE_STANDARD</t>
  </si>
  <si>
    <t>DefaultStandard</t>
  </si>
  <si>
    <t>SG</t>
  </si>
  <si>
    <t>SG_TEMP</t>
  </si>
  <si>
    <t>EXHAUST_NOZZLE</t>
  </si>
  <si>
    <t>TSN</t>
  </si>
  <si>
    <t>CSN</t>
  </si>
  <si>
    <t>ESM_REV_NO</t>
  </si>
  <si>
    <t>ESM_REV_DATE</t>
  </si>
  <si>
    <t>FIRE_WIRE_1_INSTALLED</t>
  </si>
  <si>
    <t>FIRE_WIRE_2_INSTALLED</t>
  </si>
  <si>
    <t>ENG_CONF</t>
  </si>
  <si>
    <t>ENGINE_TYPE</t>
  </si>
  <si>
    <t>ECU_PN</t>
  </si>
  <si>
    <t>ECU_SOFT</t>
  </si>
  <si>
    <t>ENG_QUALITY_REPAIR</t>
  </si>
  <si>
    <t>BOUNS_WORKSCOPE</t>
  </si>
  <si>
    <t>OIL_TYPE</t>
  </si>
  <si>
    <t>TEST_TYPE</t>
  </si>
  <si>
    <t>BONUS_WORKSCOPE</t>
  </si>
  <si>
    <t>TEST_COMPLETED</t>
  </si>
  <si>
    <t>CUSTOMER_NAME</t>
  </si>
  <si>
    <t>TEST_END_DATE</t>
  </si>
  <si>
    <t>TEST_TRANSFERRED</t>
  </si>
  <si>
    <t>ENG_CONF_2</t>
  </si>
  <si>
    <t>ENG_CONF_3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</si>
  <si>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</si>
  <si>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</si>
  <si>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</si>
  <si>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</si>
  <si>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</si>
  <si>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</si>
  <si>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</si>
  <si>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</si>
  <si>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</si>
  <si>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</si>
  <si>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</si>
  <si>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</si>
  <si>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</si>
  <si>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</si>
  <si>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</si>
  <si>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</si>
  <si>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</si>
  <si>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</si>
  <si>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</si>
  <si>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</si>
  <si>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</si>
  <si>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</si>
  <si>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</si>
  <si>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</si>
  <si>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</si>
  <si>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</si>
  <si>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</si>
  <si>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</si>
  <si>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</si>
  <si>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</si>
  <si>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</si>
  <si>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</si>
  <si>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</si>
  <si>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</si>
  <si>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</si>
  <si>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</si>
  <si>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</si>
  <si>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</si>
  <si>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</si>
  <si>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</si>
  <si>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</si>
  <si>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</si>
  <si>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</si>
  <si>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</si>
  <si>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</si>
  <si>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</si>
  <si>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</si>
  <si>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 xml:space="preserve">ACCEL </t>
  </si>
  <si>
    <t>DECEL</t>
  </si>
  <si>
    <t>EGT_TRIM</t>
  </si>
  <si>
    <t>TLA_SEL</t>
  </si>
  <si>
    <t>N2R2HD</t>
  </si>
  <si>
    <t>PT2_CAL</t>
  </si>
  <si>
    <t>T5_SEL</t>
  </si>
  <si>
    <t>CFM56-5B</t>
  </si>
  <si>
    <t>CFM56_5B</t>
  </si>
  <si>
    <t>_P</t>
  </si>
  <si>
    <t>Num</t>
  </si>
  <si>
    <t>B1</t>
  </si>
  <si>
    <t>B2</t>
  </si>
  <si>
    <t>B2B</t>
  </si>
  <si>
    <t>B4</t>
  </si>
  <si>
    <t>B5</t>
  </si>
  <si>
    <t>B6</t>
  </si>
  <si>
    <t>B8</t>
  </si>
  <si>
    <t>FULLSET DATE</t>
  </si>
  <si>
    <t>PS3R_SEL</t>
  </si>
  <si>
    <t>FNK TO-MARGIN</t>
  </si>
  <si>
    <t>sec</t>
  </si>
  <si>
    <t>L/H</t>
  </si>
  <si>
    <t xml:space="preserve"> B1/P or  /3</t>
  </si>
  <si>
    <t xml:space="preserve"> B2/P or /3</t>
  </si>
  <si>
    <t xml:space="preserve"> B3/P or /3</t>
  </si>
  <si>
    <t xml:space="preserve"> B4/P or /3</t>
  </si>
  <si>
    <t xml:space="preserve"> B6/P or /3</t>
  </si>
  <si>
    <t xml:space="preserve"> B7/P or /3</t>
  </si>
  <si>
    <t xml:space="preserve"> B8/P or /3</t>
  </si>
  <si>
    <t xml:space="preserve"> B9/P or /3</t>
  </si>
  <si>
    <t xml:space="preserve"> B9/2P</t>
  </si>
  <si>
    <t xml:space="preserve"> B6/2P</t>
  </si>
  <si>
    <t xml:space="preserve"> B4/2P</t>
  </si>
  <si>
    <t xml:space="preserve"> B3/2P</t>
  </si>
  <si>
    <t xml:space="preserve"> B2/2P</t>
  </si>
  <si>
    <t xml:space="preserve"> B1/2P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</si>
  <si>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</si>
  <si>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</si>
  <si>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</si>
  <si>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</si>
  <si>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</si>
  <si>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</si>
  <si>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</si>
  <si>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</si>
  <si>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</si>
  <si>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</si>
  <si>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</si>
  <si>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</si>
  <si>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</si>
  <si>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</si>
  <si>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</si>
  <si>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</si>
  <si>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</si>
  <si>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</si>
  <si>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</si>
  <si>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</si>
  <si>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</si>
  <si>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</si>
  <si>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</si>
  <si>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</si>
  <si>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</si>
  <si>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</si>
  <si>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</si>
  <si>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</si>
  <si>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</si>
  <si>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</si>
  <si>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</si>
  <si>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</si>
  <si>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</si>
  <si>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</si>
  <si>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</si>
  <si>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</si>
  <si>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</si>
  <si>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</si>
  <si>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</si>
  <si>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</si>
  <si>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</si>
  <si>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</si>
  <si>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</si>
  <si>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</si>
  <si>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</si>
  <si>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</si>
  <si>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</si>
  <si>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</si>
  <si>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 xml:space="preserve">(PPH/Lbs) 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</si>
  <si>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</si>
  <si>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</si>
  <si>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</si>
  <si>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</si>
  <si>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</si>
  <si>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</si>
  <si>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</si>
  <si>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</si>
  <si>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</si>
  <si>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</si>
  <si>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</si>
  <si>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</si>
  <si>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</si>
  <si>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</si>
  <si>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</si>
  <si>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</si>
  <si>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</si>
  <si>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&lt;0,57 L/h</t>
  </si>
  <si>
    <t>Psid</t>
  </si>
  <si>
    <t xml:space="preserve">45.7 - 64.5 </t>
  </si>
  <si>
    <t>Oil Temperature at Take-Off:</t>
  </si>
  <si>
    <t>˚C</t>
  </si>
  <si>
    <t>&lt; 140 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</si>
  <si>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</si>
  <si>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</si>
  <si>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</si>
  <si>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</si>
  <si>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</si>
  <si>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</si>
  <si>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EPR at Take-Off:</t>
  </si>
  <si>
    <t>CPR at Take-Off:</t>
  </si>
  <si>
    <t>TPR at Take-Off:</t>
  </si>
  <si>
    <t>CTR at Take-Off:</t>
  </si>
  <si>
    <t>FPR at Take-Off: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</si>
  <si>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</si>
  <si>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</si>
  <si>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</si>
  <si>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</si>
  <si>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</si>
  <si>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</si>
  <si>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I hereby certify that the test for the above mentioned engine have been carried out in accordance with CFM56-5B ESM</t>
  </si>
  <si>
    <t>Signature:</t>
  </si>
  <si>
    <t>Stamp:</t>
  </si>
  <si>
    <t>Date:</t>
  </si>
  <si>
    <t>&lt;1,6 ips</t>
  </si>
  <si>
    <t>Bonus Works</t>
  </si>
  <si>
    <t>Customer</t>
  </si>
  <si>
    <t>pps</t>
  </si>
  <si>
    <t>W2K at Take-Off: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</si>
  <si>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</si>
  <si>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</si>
  <si>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</si>
  <si>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</si>
  <si>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</si>
  <si>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</si>
  <si>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</si>
  <si>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</si>
  <si>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</si>
  <si>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</si>
  <si>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</si>
  <si>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</si>
  <si>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</si>
  <si>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</si>
  <si>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</si>
  <si>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</si>
  <si>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</si>
  <si>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</si>
  <si>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</si>
  <si>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</si>
  <si>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</si>
  <si>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</si>
  <si>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</si>
  <si>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</si>
  <si>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</si>
  <si>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</si>
  <si>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</si>
  <si>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</si>
  <si>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</si>
  <si>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</si>
  <si>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</si>
  <si>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</si>
  <si>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</si>
  <si>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</si>
  <si>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</si>
  <si>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</si>
  <si>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</si>
  <si>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</si>
  <si>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</si>
  <si>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</si>
  <si>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</si>
  <si>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</si>
  <si>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</si>
  <si>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</si>
  <si>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</si>
  <si>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</si>
  <si>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</si>
  <si>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</si>
  <si>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</si>
  <si>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</si>
  <si>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</si>
  <si>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</si>
  <si>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</si>
  <si>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</si>
  <si>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</si>
  <si>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</si>
  <si>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</si>
  <si>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</si>
  <si>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</si>
  <si>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</si>
  <si>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</si>
  <si>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</si>
  <si>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</si>
  <si>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</si>
  <si>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</si>
  <si>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R-HUM 1</t>
  </si>
  <si>
    <t>R-HUM 2</t>
  </si>
  <si>
    <t>GRAINS</t>
  </si>
  <si>
    <t>T_Cell_UpPort</t>
  </si>
  <si>
    <t>T_Cell_UpMid</t>
  </si>
  <si>
    <t>T_Cell_UpStbd</t>
  </si>
  <si>
    <t>T_Cell_CenPort</t>
  </si>
  <si>
    <t>T_Cell_Centre</t>
  </si>
  <si>
    <t>T_Cell_CenStbd</t>
  </si>
  <si>
    <t>T_Cell_LowPort</t>
  </si>
  <si>
    <t>T_Cell_LowMid</t>
  </si>
  <si>
    <t>PAmb1</t>
  </si>
  <si>
    <t>PSIA</t>
  </si>
  <si>
    <t>PAmb2</t>
  </si>
  <si>
    <t>Psump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</si>
  <si>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</si>
  <si>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</si>
  <si>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</si>
  <si>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</si>
  <si>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</si>
  <si>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</si>
  <si>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</si>
  <si>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</si>
  <si>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</si>
  <si>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 xml:space="preserve">T12               </t>
  </si>
  <si>
    <t xml:space="preserve">T12              </t>
  </si>
  <si>
    <t xml:space="preserve">T25             </t>
  </si>
  <si>
    <t xml:space="preserve">T25              </t>
  </si>
  <si>
    <t xml:space="preserve">T3                 </t>
  </si>
  <si>
    <t>[217]</t>
  </si>
  <si>
    <t xml:space="preserve">T3                </t>
  </si>
  <si>
    <t xml:space="preserve">TECU           </t>
  </si>
  <si>
    <t xml:space="preserve">TECU          </t>
  </si>
  <si>
    <t xml:space="preserve">P0               </t>
  </si>
  <si>
    <t xml:space="preserve">P0                </t>
  </si>
  <si>
    <t>PT2SEL</t>
  </si>
  <si>
    <t xml:space="preserve">PS3              </t>
  </si>
  <si>
    <t xml:space="preserve">PS3             </t>
  </si>
  <si>
    <t xml:space="preserve">VSVSEL       </t>
  </si>
  <si>
    <t xml:space="preserve">VSVSEL      </t>
  </si>
  <si>
    <t xml:space="preserve">VSVDMD      </t>
  </si>
  <si>
    <t>[061]</t>
  </si>
  <si>
    <t xml:space="preserve">VBVSEL       </t>
  </si>
  <si>
    <t xml:space="preserve">VBVSEL        </t>
  </si>
  <si>
    <t xml:space="preserve">VBVDMD      </t>
  </si>
  <si>
    <t>[062]</t>
  </si>
  <si>
    <t xml:space="preserve">VBVDMD     </t>
  </si>
  <si>
    <t xml:space="preserve">HPTACCSEL </t>
  </si>
  <si>
    <t xml:space="preserve">HPTACCSEL  </t>
  </si>
  <si>
    <t>HPTACCDMD</t>
  </si>
  <si>
    <t>[304]</t>
  </si>
  <si>
    <t xml:space="preserve">HPTACCDMD </t>
  </si>
  <si>
    <t xml:space="preserve">FMVSEL      </t>
  </si>
  <si>
    <t xml:space="preserve">FMVSEL       </t>
  </si>
  <si>
    <t xml:space="preserve">FMVDMD       </t>
  </si>
  <si>
    <t xml:space="preserve">FMVDMD      </t>
  </si>
  <si>
    <t>[244]</t>
  </si>
  <si>
    <t>CFM56-5B ENGINE</t>
  </si>
  <si>
    <t>T_Cowl Fwd</t>
  </si>
  <si>
    <t>T_Cowl Aft</t>
  </si>
  <si>
    <t>N1 TRF</t>
  </si>
  <si>
    <t>N2 TRF</t>
  </si>
  <si>
    <t>N1 PAL 1</t>
  </si>
  <si>
    <t>N2 PAL 1</t>
  </si>
  <si>
    <t>VIB_PAL_N1</t>
  </si>
  <si>
    <t>VIB_PAL_N2</t>
  </si>
  <si>
    <t>VIB_TRF_N1</t>
  </si>
  <si>
    <t>VIB_TRF_N2</t>
  </si>
  <si>
    <t>[114]</t>
  </si>
  <si>
    <t>T495 SEL</t>
  </si>
  <si>
    <t xml:space="preserve">LPTACCSEL </t>
  </si>
  <si>
    <t xml:space="preserve">LPTACCSEL  </t>
  </si>
  <si>
    <t>LPTACCDMD</t>
  </si>
  <si>
    <t xml:space="preserve">LPTACCDMD </t>
  </si>
  <si>
    <t>WFM SEL</t>
  </si>
  <si>
    <t>N1ACT</t>
  </si>
  <si>
    <t>[054]</t>
  </si>
  <si>
    <t>N1 SEL</t>
  </si>
  <si>
    <t>PS13 ECU</t>
  </si>
  <si>
    <t>P25 ECU</t>
  </si>
  <si>
    <t>°F</t>
  </si>
  <si>
    <t xml:space="preserve">T5 SEL                </t>
  </si>
  <si>
    <t>T FWD Adapt</t>
  </si>
  <si>
    <t>T AFT Adapt</t>
  </si>
  <si>
    <t>P Sop Diff</t>
  </si>
  <si>
    <t>RAC TBV SEL</t>
  </si>
  <si>
    <t>ENGINE TESTED ACCORDING TO ESM CFM 5B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</si>
  <si>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</si>
  <si>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</si>
  <si>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</si>
  <si>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</si>
  <si>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</si>
  <si>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</si>
  <si>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</si>
  <si>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 xml:space="preserve">STANDARD DAY WITH N1 MODIFIER </t>
  </si>
  <si>
    <t xml:space="preserve">HOT DAY WITH N1 MODIFIER </t>
  </si>
  <si>
    <t>[060]</t>
  </si>
  <si>
    <t>[347]</t>
  </si>
  <si>
    <t>[346]</t>
  </si>
  <si>
    <t>[341]</t>
  </si>
  <si>
    <t xml:space="preserve">TLA            </t>
  </si>
  <si>
    <t>[133]</t>
  </si>
  <si>
    <t>[130]</t>
  </si>
  <si>
    <t>[263]</t>
  </si>
  <si>
    <t>[265]</t>
  </si>
  <si>
    <t>[345]</t>
  </si>
  <si>
    <t>[260]</t>
  </si>
  <si>
    <t>PS12</t>
  </si>
  <si>
    <t>[131]</t>
  </si>
  <si>
    <t>[264]</t>
  </si>
  <si>
    <t>[072]</t>
  </si>
  <si>
    <t>°</t>
  </si>
  <si>
    <t>[071]</t>
  </si>
  <si>
    <t>[063]</t>
  </si>
  <si>
    <t>[306]</t>
  </si>
  <si>
    <t>[307]</t>
  </si>
  <si>
    <t>[064]</t>
  </si>
  <si>
    <t>[055]</t>
  </si>
  <si>
    <t xml:space="preserve"> B5/P or /3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</si>
  <si>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</si>
  <si>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</si>
  <si>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</si>
  <si>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</si>
  <si>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</si>
  <si>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</si>
  <si>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</si>
  <si>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</si>
  <si>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</si>
  <si>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</si>
  <si>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</si>
  <si>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</si>
  <si>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</si>
  <si>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</si>
  <si>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</si>
  <si>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</si>
  <si>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</si>
  <si>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</si>
  <si>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</si>
  <si>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</si>
  <si>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</si>
  <si>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</si>
  <si>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</si>
  <si>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</si>
  <si>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</si>
  <si>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</si>
  <si>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</si>
  <si>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</si>
  <si>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</si>
  <si>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</si>
  <si>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</si>
  <si>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</si>
  <si>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</si>
  <si>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</si>
  <si>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</si>
  <si>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</si>
  <si>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</si>
  <si>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</si>
  <si>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</si>
  <si>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</si>
  <si>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</si>
  <si>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</si>
  <si>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</si>
  <si>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</si>
  <si>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</si>
  <si>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</si>
  <si>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19-8053</t>
  </si>
  <si>
    <t>TEST_CLOSED</t>
  </si>
  <si>
    <t>Y</t>
  </si>
  <si>
    <t>TEST_CLOSED_DATE</t>
  </si>
  <si>
    <t>Flight</t>
  </si>
  <si>
    <t>B4_P,B4_3</t>
  </si>
  <si>
    <t>5BT.F1</t>
  </si>
  <si>
    <t>NQSV</t>
  </si>
  <si>
    <t>Performance Test</t>
  </si>
  <si>
    <t>WL</t>
  </si>
  <si>
    <t>B4_P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</si>
  <si>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</si>
  <si>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</si>
  <si>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</si>
  <si>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</si>
  <si>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</si>
  <si>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</si>
  <si>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</si>
  <si>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</si>
  <si>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</si>
  <si>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</si>
  <si>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</si>
  <si>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</si>
  <si>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</si>
  <si>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</si>
  <si>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</si>
  <si>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</si>
  <si>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PSID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</si>
  <si>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</si>
  <si>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</si>
  <si>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</si>
  <si>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</si>
  <si>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</si>
  <si>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</si>
  <si>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</si>
  <si>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</si>
  <si>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</si>
  <si>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</si>
  <si>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</si>
  <si>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</si>
  <si>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</si>
  <si>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</si>
  <si>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</si>
  <si>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</si>
  <si>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</si>
  <si>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</si>
  <si>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&lt;4 Mils</t>
  </si>
  <si>
    <t>ESM LIMIT</t>
  </si>
  <si>
    <t>VIBRATION DATA</t>
  </si>
  <si>
    <t>PRESSURE DATA</t>
  </si>
  <si>
    <t>TEMPERATURE DATA</t>
  </si>
  <si>
    <t xml:space="preserve">Mils </t>
  </si>
  <si>
    <t>Rytkonen</t>
  </si>
  <si>
    <t>ES2380</t>
  </si>
  <si>
    <t>GATES-Vantaa</t>
  </si>
  <si>
    <t>ACA</t>
  </si>
  <si>
    <t>2044M38P07</t>
  </si>
  <si>
    <t>CFM56-5B1 (Figure 1306 - Sheet 1)</t>
  </si>
  <si>
    <t>CFM56-5B2 (Figure 1306 - Sheet 2)</t>
  </si>
  <si>
    <t>CFM56-5B3 (Figure 1306 - Sheet 3)</t>
  </si>
  <si>
    <t>CFM56-5B4 AND CFM56-5B7 (Figure 1306 - Sheet 4)</t>
  </si>
  <si>
    <t>CFM56-5B5 (Figure 1306 - Sheet 5)</t>
  </si>
  <si>
    <t>CFM56-5B6 (Figure 1306 - Sheet 6)</t>
  </si>
  <si>
    <t>CFM56-5B8 (Figure 1306 - Sheet 7)</t>
  </si>
  <si>
    <t>CFM56-5B9 (Figure 1306 - Sheet 8)</t>
  </si>
  <si>
    <t>ESM Rev.76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</si>
</sst>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3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15" fillId="3" borderId="0" xfId="0" applyFont="1" applyFill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4" borderId="14" xfId="0" applyFont="1" applyFill="1" applyBorder="1" applyAlignment="1">
      <alignment horizontal="center"/>
    </xf>
    <xf numFmtId="0" fontId="15" fillId="3" borderId="15" xfId="0" applyFont="1" applyFill="1" applyBorder="1" applyAlignment="1"/>
    <xf numFmtId="1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0" borderId="18" xfId="0" applyFont="1" applyFill="1" applyBorder="1" applyAlignment="1"/>
    <xf numFmtId="164" fontId="15" fillId="0" borderId="19" xfId="0" applyNumberFormat="1" applyFont="1" applyBorder="1" applyAlignment="1">
      <alignment horizontal="center"/>
    </xf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5" fillId="4" borderId="13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15" fillId="4" borderId="14" xfId="0" applyFont="1" applyFill="1" applyBorder="1" applyAlignment="1"/>
    <xf numFmtId="164" fontId="15" fillId="0" borderId="25" xfId="0" applyNumberFormat="1" applyFont="1" applyBorder="1" applyAlignment="1">
      <alignment horizontal="center"/>
    </xf>
    <xf numFmtId="0" fontId="15" fillId="3" borderId="26" xfId="0" applyFont="1" applyFill="1" applyBorder="1" applyAlignment="1"/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>
      <alignment horizontal="center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2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/>
    <xf numFmtId="0" fontId="3" fillId="0" borderId="16" xfId="0" applyFont="1" applyBorder="1" applyAlignment="1"/>
    <xf numFmtId="0" fontId="3" fillId="0" borderId="3" xfId="0" applyFont="1" applyBorder="1" applyAlignment="1"/>
    <xf numFmtId="0" fontId="3" fillId="0" borderId="51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32" fillId="4" borderId="0" xfId="0" applyFont="1" applyFill="1" applyBorder="1" applyAlignment="1">
      <alignment vertical="top"/>
    </xf>
    <xf numFmtId="0" fontId="12" fillId="4" borderId="38" xfId="0" applyFont="1" applyFill="1" applyBorder="1"/>
    <xf numFmtId="0" fontId="32" fillId="4" borderId="38" xfId="0" applyFont="1" applyFill="1" applyBorder="1" applyAlignment="1">
      <alignment vertical="top"/>
    </xf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</xf>
    <xf numFmtId="2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5" fillId="4" borderId="82" xfId="0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2" fillId="0" borderId="81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164" fontId="15" fillId="4" borderId="84" xfId="0" applyNumberFormat="1" applyFont="1" applyFill="1" applyBorder="1" applyAlignment="1"/>
    <xf numFmtId="164" fontId="15" fillId="4" borderId="51" xfId="0" applyNumberFormat="1" applyFont="1" applyFill="1" applyBorder="1" applyAlignment="1">
      <alignment horizontal="left" vertical="center"/>
    </xf>
    <xf numFmtId="165" fontId="15" fillId="4" borderId="8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9" fillId="0" borderId="14" xfId="0" applyNumberFormat="1" applyFont="1" applyBorder="1" applyAlignment="1" applyProtection="1">
      <alignment horizontal="center"/>
    </xf>
    <xf numFmtId="165" fontId="19" fillId="0" borderId="30" xfId="0" applyNumberFormat="1" applyFont="1" applyBorder="1" applyAlignment="1">
      <alignment horizontal="center"/>
    </xf>
    <xf numFmtId="0" fontId="1" fillId="4" borderId="28" xfId="0" applyFont="1" applyFill="1" applyBorder="1"/>
    <xf numFmtId="0" fontId="12" fillId="4" borderId="0" xfId="0" applyFont="1" applyFill="1" applyBorder="1" applyAlignment="1">
      <alignment horizontal="left"/>
    </xf>
    <xf numFmtId="2" fontId="6" fillId="0" borderId="5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9" fillId="0" borderId="0" xfId="0" applyFont="1" applyBorder="1" applyAlignment="1"/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6" fillId="3" borderId="0" xfId="0" applyFont="1" applyFill="1" applyBorder="1"/>
    <xf numFmtId="1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/>
    <xf numFmtId="0" fontId="3" fillId="0" borderId="0" xfId="0" applyFont="1" applyFill="1"/>
    <xf numFmtId="0" fontId="16" fillId="4" borderId="5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left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</xf>
    <xf numFmtId="0" fontId="27" fillId="4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  <xf numFmtId="22" fontId="3" fillId="0" borderId="0" xfId="0" applyNumberFormat="1" applyFont="1" applyFill="1"/>
    <xf numFmtId="11" fontId="3" fillId="0" borderId="0" xfId="0" applyNumberFormat="1" applyFont="1" applyFill="1"/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4" borderId="95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7" fillId="0" borderId="9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36" fillId="3" borderId="103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4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5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16" fillId="4" borderId="86" xfId="0" applyFont="1" applyFill="1" applyBorder="1" applyAlignment="1">
      <alignment horizontal="left"/>
    </xf>
    <xf numFmtId="0" fontId="16" fillId="4" borderId="96" xfId="0" applyFont="1" applyFill="1" applyBorder="1" applyAlignment="1">
      <alignment horizontal="left"/>
    </xf>
    <xf numFmtId="0" fontId="17" fillId="3" borderId="95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102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102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7" fillId="0" borderId="95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36" fillId="3" borderId="99" xfId="0" applyFont="1" applyFill="1" applyBorder="1" applyAlignment="1">
      <alignment horizontal="left"/>
    </xf>
    <xf numFmtId="0" fontId="36" fillId="3" borderId="106" xfId="0" applyFont="1" applyFill="1" applyBorder="1" applyAlignment="1">
      <alignment horizontal="left"/>
    </xf>
    <xf numFmtId="0" fontId="36" fillId="3" borderId="107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0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0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91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2" xfId="0" applyFont="1" applyFill="1" applyBorder="1" applyAlignment="1">
      <alignment horizontal="center" vertical="top" wrapText="1"/>
    </xf>
    <xf numFmtId="0" fontId="20" fillId="3" borderId="99" xfId="0" applyFont="1" applyFill="1" applyBorder="1" applyAlignment="1">
      <alignment horizontal="center"/>
    </xf>
    <xf numFmtId="0" fontId="20" fillId="3" borderId="93" xfId="0" applyFont="1" applyFill="1" applyBorder="1" applyAlignment="1">
      <alignment horizontal="center"/>
    </xf>
    <xf numFmtId="0" fontId="15" fillId="0" borderId="82" xfId="0" applyFont="1" applyBorder="1" applyAlignment="1">
      <alignment horizontal="center"/>
    </xf>
    <xf numFmtId="0" fontId="15" fillId="0" borderId="93" xfId="0" applyFont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9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64" fontId="15" fillId="4" borderId="5" xfId="0" applyNumberFormat="1" applyFont="1" applyFill="1" applyBorder="1" applyAlignment="1">
      <alignment horizontal="center"/>
    </xf>
    <xf numFmtId="164" fontId="15" fillId="4" borderId="3" xfId="0" applyNumberFormat="1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87" xfId="0" applyFont="1" applyFill="1" applyBorder="1" applyAlignment="1">
      <alignment horizontal="center"/>
    </xf>
    <xf numFmtId="0" fontId="19" fillId="0" borderId="89" xfId="0" applyFont="1" applyBorder="1" applyAlignment="1">
      <alignment horizontal="left"/>
    </xf>
    <xf numFmtId="0" fontId="19" fillId="0" borderId="90" xfId="0" applyFont="1" applyBorder="1" applyAlignment="1">
      <alignment horizontal="left"/>
    </xf>
    <xf numFmtId="0" fontId="19" fillId="0" borderId="52" xfId="0" applyFont="1" applyBorder="1" applyAlignment="1">
      <alignment horizontal="left"/>
    </xf>
    <xf numFmtId="0" fontId="19" fillId="4" borderId="88" xfId="0" applyFont="1" applyFill="1" applyBorder="1" applyAlignment="1">
      <alignment horizontal="left"/>
    </xf>
    <xf numFmtId="0" fontId="19" fillId="4" borderId="52" xfId="0" applyFont="1" applyFill="1" applyBorder="1" applyAlignment="1">
      <alignment horizontal="left"/>
    </xf>
    <xf numFmtId="0" fontId="20" fillId="3" borderId="89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164" fontId="15" fillId="4" borderId="29" xfId="0" applyNumberFormat="1" applyFont="1" applyFill="1" applyBorder="1" applyAlignment="1">
      <alignment horizontal="center"/>
    </xf>
    <xf numFmtId="164" fontId="15" fillId="4" borderId="91" xfId="0" applyNumberFormat="1" applyFont="1" applyFill="1" applyBorder="1" applyAlignment="1">
      <alignment horizont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0" borderId="97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36" fillId="3" borderId="94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/>
    </xf>
    <xf numFmtId="0" fontId="19" fillId="0" borderId="9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4" borderId="79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4" borderId="27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3" borderId="10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9" xfId="0" applyFont="1" applyFill="1" applyBorder="1" applyAlignment="1" applyProtection="1">
      <alignment horizontal="center" vertical="center"/>
      <protection locked="0"/>
    </xf>
    <xf numFmtId="0" fontId="1" fillId="0" borderId="81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10" xfId="0" applyFont="1" applyFill="1" applyBorder="1" applyAlignment="1">
      <alignment horizontal="center"/>
    </xf>
    <xf numFmtId="0" fontId="1" fillId="0" borderId="109" xfId="0" applyFont="1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09" xfId="0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34" fillId="4" borderId="81" xfId="0" applyFont="1" applyFill="1" applyBorder="1" applyAlignment="1">
      <alignment horizontal="left" vertical="center"/>
    </xf>
    <xf numFmtId="0" fontId="34" fillId="4" borderId="110" xfId="0" applyFont="1" applyFill="1" applyBorder="1" applyAlignment="1">
      <alignment horizontal="left" vertical="center"/>
    </xf>
    <xf numFmtId="0" fontId="34" fillId="4" borderId="109" xfId="0" applyFont="1" applyFill="1" applyBorder="1" applyAlignment="1">
      <alignment horizontal="left" vertical="center"/>
    </xf>
    <xf numFmtId="1" fontId="12" fillId="4" borderId="38" xfId="0" applyNumberFormat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3" fillId="4" borderId="40" xfId="0" applyFont="1" applyFill="1" applyBorder="1" applyAlignment="1">
      <alignment horizontal="center" vertical="top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0" fontId="35" fillId="4" borderId="110" xfId="0" applyFont="1" applyFill="1" applyBorder="1" applyAlignment="1">
      <alignment horizontal="left" vertical="center"/>
    </xf>
    <xf numFmtId="0" fontId="35" fillId="4" borderId="109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165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165" fontId="6" fillId="0" borderId="16" xfId="0" applyNumberFormat="1" applyFont="1" applyBorder="1" applyAlignment="1">
      <alignment horizontal="center"/>
    </xf>
    <xf numFmtId="2" fontId="6" fillId="0" borderId="59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0" fontId="37" fillId="3" borderId="0" xfId="0" applyFont="1" applyFill="1" applyBorder="1" applyAlignment="1">
      <alignment horizontal="center"/>
    </xf>
    <xf numFmtId="0" fontId="6" fillId="0" borderId="110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59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050CF-818A-445E-8140-B0F22273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5BBAE-854C-4CC0-95C4-7C656A15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61778-0965-4D8F-96DF-3959E2DC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B101B-F1EE-409F-971F-390B2DBB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147A-7D87-4C70-A931-E7F55070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C3A06-1EF9-4B15-9FD3-4D3A019E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5FA92-B67F-4FDC-AF6E-4E4A87039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E6B1A-988B-47D3-BAAA-BD96052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44B18-AB48-49F3-89C3-5FEB5831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E79F9-3A23-4FE5-B7F0-C996BDD51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6350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761999</xdr:colOff>
      <xdr:row>5</xdr:row>
      <xdr:rowOff>85724</xdr:rowOff>
    </xdr:from>
    <xdr:to>
      <xdr:col>13</xdr:col>
      <xdr:colOff>577850</xdr:colOff>
      <xdr:row>12</xdr:row>
      <xdr:rowOff>112822</xdr:rowOff>
    </xdr:to>
    <xdr:pic>
      <xdr:nvPicPr>
        <xdr:cNvPr id="27383" name="Picture 4">
          <a:extLst>
            <a:ext uri="{FF2B5EF4-FFF2-40B4-BE49-F238E27FC236}">
              <a16:creationId xmlns:a16="http://schemas.microsoft.com/office/drawing/2014/main" id="{55C89DE6-3595-4258-BA37-5E054968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00124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520700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761999</xdr:colOff>
      <xdr:row>62</xdr:row>
      <xdr:rowOff>85726</xdr:rowOff>
    </xdr:from>
    <xdr:to>
      <xdr:col>13</xdr:col>
      <xdr:colOff>577850</xdr:colOff>
      <xdr:row>69</xdr:row>
      <xdr:rowOff>112824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28C2326A-60CE-41EE-AD07-504526BF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829926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520700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tabSelected="1" workbookViewId="0">
      <selection activeCell="B8" sqref="B8"/>
    </sheetView>
  </sheetViews>
  <sheetFormatPr defaultColWidth="11.42578125" defaultRowHeight="12.75" x14ac:dyDescent="0.2"/>
  <cols>
    <col min="1" max="1" width="19.140625" bestFit="1" customWidth="1"/>
    <col min="2" max="2" width="13.42578125" bestFit="1" customWidth="1"/>
  </cols>
  <sheetData>
    <row r="1" spans="1:2" s="1" customFormat="1" x14ac:dyDescent="0.2">
      <c r="A1" s="2" t="s">
        <v>78</v>
      </c>
      <c r="B1" s="2" t="s">
        <v>533</v>
      </c>
    </row>
    <row r="2" spans="1:2" x14ac:dyDescent="0.2">
      <c r="A2" s="3" t="s">
        <v>79</v>
      </c>
      <c r="B2" s="3" t="s">
        <v>587</v>
      </c>
    </row>
    <row r="3" spans="1:2" x14ac:dyDescent="0.2">
      <c r="A3" s="3" t="s">
        <v>80</v>
      </c>
      <c r="B3" s="3">
        <v>1331</v>
      </c>
    </row>
    <row r="4" spans="1:2" x14ac:dyDescent="0.2">
      <c r="A4" s="3" t="s">
        <v>81</v>
      </c>
      <c r="B4" s="3" t="s">
        <v>533</v>
      </c>
    </row>
    <row r="5" spans="1:2" x14ac:dyDescent="0.2">
      <c r="A5" s="3" t="s">
        <v>82</v>
      </c>
      <c r="B5" s="4">
        <v>43729.338773148149</v>
      </c>
    </row>
    <row r="6" spans="1:2" x14ac:dyDescent="0.2">
      <c r="A6" s="3" t="s">
        <v>83</v>
      </c>
      <c r="B6" s="3">
        <v>123456</v>
      </c>
    </row>
    <row r="7" spans="1:2" x14ac:dyDescent="0.2">
      <c r="A7" s="3" t="s">
        <v>84</v>
      </c>
      <c r="B7" s="3" t="s">
        <v>175</v>
      </c>
    </row>
    <row r="8" spans="1:2" x14ac:dyDescent="0.2">
      <c r="A8" s="3" t="s">
        <v>85</v>
      </c>
      <c r="B8" s="3"/>
    </row>
    <row r="9" spans="1:2" x14ac:dyDescent="0.2">
      <c r="A9" s="3" t="s">
        <v>86</v>
      </c>
      <c r="B9" s="3"/>
    </row>
    <row r="10" spans="1:2" x14ac:dyDescent="0.2">
      <c r="A10" s="3" t="s">
        <v>87</v>
      </c>
      <c r="B10" s="3"/>
    </row>
    <row r="11" spans="1:2" x14ac:dyDescent="0.2">
      <c r="A11" s="3" t="s">
        <v>88</v>
      </c>
      <c r="B11" s="3">
        <v>63037973</v>
      </c>
    </row>
    <row r="12" spans="1:2" x14ac:dyDescent="0.2">
      <c r="A12" s="3" t="s">
        <v>89</v>
      </c>
      <c r="B12" s="3"/>
    </row>
    <row r="13" spans="1:2" x14ac:dyDescent="0.2">
      <c r="A13" s="3" t="s">
        <v>90</v>
      </c>
      <c r="B13" s="3"/>
    </row>
    <row r="14" spans="1:2" x14ac:dyDescent="0.2">
      <c r="A14" s="3" t="s">
        <v>91</v>
      </c>
      <c r="B14" s="3" t="s">
        <v>585</v>
      </c>
    </row>
    <row r="15" spans="1:2" x14ac:dyDescent="0.2">
      <c r="A15" s="3" t="s">
        <v>92</v>
      </c>
      <c r="B15" s="3"/>
    </row>
    <row r="16" spans="1:2" x14ac:dyDescent="0.2">
      <c r="A16" s="3" t="s">
        <v>93</v>
      </c>
      <c r="B16" s="3" t="s">
        <v>94</v>
      </c>
    </row>
    <row r="17" spans="1:2" x14ac:dyDescent="0.2">
      <c r="A17" s="3" t="s">
        <v>95</v>
      </c>
      <c r="B17" s="3" t="s">
        <v>96</v>
      </c>
    </row>
    <row r="18" spans="1:2" x14ac:dyDescent="0.2">
      <c r="A18" s="3" t="s">
        <v>534</v>
      </c>
      <c r="B18" s="3" t="s">
        <v>535</v>
      </c>
    </row>
    <row r="19" spans="1:2" x14ac:dyDescent="0.2">
      <c r="A19" s="3" t="s">
        <v>536</v>
      </c>
      <c r="B19" s="4">
        <v>43731.41065972222</v>
      </c>
    </row>
    <row r="20" spans="1:2" x14ac:dyDescent="0.2">
      <c r="A20" s="3" t="s">
        <v>97</v>
      </c>
      <c r="B20" s="3">
        <v>0.79600000000000004</v>
      </c>
    </row>
    <row r="21" spans="1:2" x14ac:dyDescent="0.2">
      <c r="A21" s="3" t="s">
        <v>98</v>
      </c>
      <c r="B21" s="3">
        <v>15</v>
      </c>
    </row>
    <row r="22" spans="1:2" x14ac:dyDescent="0.2">
      <c r="A22" s="3" t="s">
        <v>23</v>
      </c>
      <c r="B22" s="3">
        <v>18619</v>
      </c>
    </row>
    <row r="23" spans="1:2" x14ac:dyDescent="0.2">
      <c r="A23" s="3" t="s">
        <v>99</v>
      </c>
      <c r="B23" s="3" t="s">
        <v>537</v>
      </c>
    </row>
    <row r="24" spans="1:2" x14ac:dyDescent="0.2">
      <c r="A24" s="3" t="s">
        <v>100</v>
      </c>
      <c r="B24" s="3">
        <v>33471</v>
      </c>
    </row>
    <row r="25" spans="1:2" x14ac:dyDescent="0.2">
      <c r="A25" s="3" t="s">
        <v>101</v>
      </c>
      <c r="B25" s="3">
        <v>22617</v>
      </c>
    </row>
    <row r="26" spans="1:2" x14ac:dyDescent="0.2">
      <c r="A26" s="3" t="s">
        <v>102</v>
      </c>
      <c r="B26" s="3">
        <v>76</v>
      </c>
    </row>
    <row r="27" spans="1:2" x14ac:dyDescent="0.2">
      <c r="A27" s="3" t="s">
        <v>103</v>
      </c>
      <c r="B27" s="360">
        <v>43539</v>
      </c>
    </row>
    <row r="28" spans="1:2" x14ac:dyDescent="0.2">
      <c r="A28" s="3" t="s">
        <v>104</v>
      </c>
      <c r="B28" s="3">
        <v>0</v>
      </c>
    </row>
    <row r="29" spans="1:2" x14ac:dyDescent="0.2">
      <c r="A29" s="3" t="s">
        <v>105</v>
      </c>
      <c r="B29" s="3">
        <v>0</v>
      </c>
    </row>
    <row r="30" spans="1:2" x14ac:dyDescent="0.2">
      <c r="A30" s="3" t="s">
        <v>106</v>
      </c>
      <c r="B30" s="3" t="s">
        <v>538</v>
      </c>
    </row>
    <row r="31" spans="1:2" x14ac:dyDescent="0.2">
      <c r="A31" s="3" t="s">
        <v>107</v>
      </c>
      <c r="B31" s="3" t="s">
        <v>176</v>
      </c>
    </row>
    <row r="32" spans="1:2" x14ac:dyDescent="0.2">
      <c r="A32" s="3" t="s">
        <v>108</v>
      </c>
      <c r="B32" s="3" t="s">
        <v>589</v>
      </c>
    </row>
    <row r="33" spans="1:2" x14ac:dyDescent="0.2">
      <c r="A33" s="3" t="s">
        <v>109</v>
      </c>
      <c r="B33" s="3" t="s">
        <v>539</v>
      </c>
    </row>
    <row r="34" spans="1:2" x14ac:dyDescent="0.2">
      <c r="A34" s="3" t="s">
        <v>110</v>
      </c>
      <c r="B34" s="3" t="s">
        <v>540</v>
      </c>
    </row>
    <row r="35" spans="1:2" x14ac:dyDescent="0.2">
      <c r="A35" s="3" t="s">
        <v>111</v>
      </c>
      <c r="B35" s="3"/>
    </row>
    <row r="36" spans="1:2" x14ac:dyDescent="0.2">
      <c r="A36" s="3" t="s">
        <v>112</v>
      </c>
      <c r="B36" s="3" t="s">
        <v>586</v>
      </c>
    </row>
    <row r="37" spans="1:2" x14ac:dyDescent="0.2">
      <c r="A37" s="3" t="s">
        <v>113</v>
      </c>
      <c r="B37" s="3" t="s">
        <v>541</v>
      </c>
    </row>
    <row r="38" spans="1:2" x14ac:dyDescent="0.2">
      <c r="A38" s="3" t="s">
        <v>114</v>
      </c>
      <c r="B38" s="3">
        <v>10</v>
      </c>
    </row>
    <row r="39" spans="1:2" x14ac:dyDescent="0.2">
      <c r="A39" s="3" t="s">
        <v>115</v>
      </c>
      <c r="B39" s="3"/>
    </row>
    <row r="40" spans="1:2" x14ac:dyDescent="0.2">
      <c r="A40" s="3" t="s">
        <v>116</v>
      </c>
      <c r="B40" s="3" t="s">
        <v>588</v>
      </c>
    </row>
    <row r="41" spans="1:2" x14ac:dyDescent="0.2">
      <c r="A41" s="3" t="s">
        <v>117</v>
      </c>
      <c r="B41" s="3"/>
    </row>
    <row r="42" spans="1:2" x14ac:dyDescent="0.2">
      <c r="A42" s="3" t="s">
        <v>118</v>
      </c>
      <c r="B42" s="3">
        <v>0</v>
      </c>
    </row>
    <row r="43" spans="1:2" x14ac:dyDescent="0.2">
      <c r="A43" s="3" t="s">
        <v>119</v>
      </c>
      <c r="B43" s="3" t="s">
        <v>177</v>
      </c>
    </row>
    <row r="44" spans="1:2" x14ac:dyDescent="0.2">
      <c r="A44" s="3" t="s">
        <v>120</v>
      </c>
      <c r="B44" s="3" t="s">
        <v>542</v>
      </c>
    </row>
    <row r="45" spans="1:2" x14ac:dyDescent="0.2">
      <c r="A45" s="3" t="s">
        <v>121</v>
      </c>
      <c r="B45" s="3" t="s">
        <v>543</v>
      </c>
    </row>
  </sheetData>
  <sheetProtection algorithmName="SHA-512" hashValue="QNezQojBijVERFD7BvSg0cSj5Fbi5TkCAb33++othExGMrF79UndA7ek3aV20m1ModvvaVSGyyqIG1x8bzwDgg==" saltValue="9QOalPyMQ5CNgqXN8yQQfA==" spinCount="100000" sheet="1" objects="1" scenarios="1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BA235"/>
  <sheetViews>
    <sheetView workbookViewId="0">
      <pane ySplit="2295"/>
      <selection pane="bottomLeft" activeCell="D33" sqref="D33"/>
    </sheetView>
  </sheetViews>
  <sheetFormatPr defaultColWidth="11.42578125" defaultRowHeight="12.75" x14ac:dyDescent="0.2"/>
  <cols>
    <col min="1" max="1" width="17.7109375" style="36" bestFit="1" customWidth="1"/>
    <col min="2" max="2" width="17.7109375" style="36" customWidth="1"/>
    <col min="3" max="3" width="5.140625" style="36" bestFit="1" customWidth="1"/>
    <col min="4" max="4" width="29.140625" style="36" customWidth="1"/>
    <col min="5" max="5" width="12" style="36" customWidth="1"/>
    <col min="6" max="6" width="3.28515625" style="36" customWidth="1"/>
    <col min="7" max="7" width="18.140625" style="36" customWidth="1"/>
    <col min="8" max="8" width="20.5703125" style="36" customWidth="1"/>
    <col min="9" max="9" width="5.140625" style="36" customWidth="1"/>
    <col min="10" max="10" width="12.140625" style="36" bestFit="1" customWidth="1"/>
    <col min="11" max="11" width="7.42578125" style="36" customWidth="1"/>
    <col min="12" max="12" width="2.42578125" style="36" customWidth="1"/>
    <col min="13" max="13" width="12.140625" style="36" bestFit="1" customWidth="1"/>
    <col min="14" max="14" width="10.5703125" style="36" customWidth="1"/>
    <col min="15" max="15" width="11.28515625" style="36" bestFit="1" customWidth="1"/>
    <col min="16" max="16" width="9.42578125" style="36" customWidth="1"/>
    <col min="17" max="17" width="2.28515625" style="36" customWidth="1"/>
    <col min="18" max="18" width="11.28515625" style="36" bestFit="1" customWidth="1"/>
    <col min="19" max="19" width="9" style="36" customWidth="1"/>
    <col min="20" max="20" width="3.140625" style="36" customWidth="1"/>
    <col min="21" max="21" width="11.28515625" style="36" bestFit="1" customWidth="1"/>
    <col min="22" max="22" width="9.140625" style="36" customWidth="1"/>
    <col min="23" max="23" width="2.7109375" style="36" customWidth="1"/>
    <col min="24" max="24" width="11.85546875" style="36" bestFit="1" customWidth="1"/>
    <col min="25" max="25" width="13.28515625" style="36" customWidth="1"/>
    <col min="26" max="26" width="2.28515625" style="36" customWidth="1"/>
    <col min="27" max="27" width="11.85546875" style="36" bestFit="1" customWidth="1"/>
    <col min="28" max="28" width="10.7109375" style="36" customWidth="1"/>
    <col min="29" max="29" width="2.85546875" style="36" customWidth="1"/>
    <col min="30" max="30" width="11.28515625" style="36" bestFit="1" customWidth="1"/>
    <col min="31" max="31" width="9.85546875" style="36" customWidth="1"/>
    <col min="32" max="32" width="2.140625" style="36" customWidth="1"/>
    <col min="33" max="33" width="11.85546875" style="36" bestFit="1" customWidth="1"/>
    <col min="34" max="34" width="10.28515625" style="36" customWidth="1"/>
    <col min="35" max="35" width="2.7109375" style="36" customWidth="1"/>
    <col min="36" max="36" width="11.28515625" style="36" bestFit="1" customWidth="1"/>
    <col min="37" max="37" width="10.5703125" style="36" customWidth="1"/>
    <col min="38" max="38" width="1.85546875" style="36" customWidth="1"/>
    <col min="39" max="39" width="11.28515625" style="36" bestFit="1" customWidth="1"/>
    <col min="40" max="40" width="10.28515625" style="36" customWidth="1"/>
    <col min="41" max="41" width="2.140625" style="36" customWidth="1"/>
    <col min="42" max="42" width="11.85546875" style="36" bestFit="1" customWidth="1"/>
    <col min="43" max="43" width="11.42578125" style="36" customWidth="1"/>
    <col min="44" max="44" width="1.7109375" style="36" customWidth="1"/>
    <col min="45" max="45" width="11.85546875" style="36" bestFit="1" customWidth="1"/>
    <col min="46" max="46" width="10.28515625" style="36" customWidth="1"/>
    <col min="47" max="47" width="2.28515625" style="36" customWidth="1"/>
    <col min="48" max="48" width="11.28515625" style="36" bestFit="1" customWidth="1"/>
    <col min="49" max="49" width="10.85546875" style="36" customWidth="1"/>
    <col min="50" max="50" width="2.140625" style="36" customWidth="1"/>
    <col min="51" max="52" width="13.140625" style="36" bestFit="1" customWidth="1"/>
    <col min="53" max="53" width="3" style="36" bestFit="1" customWidth="1"/>
    <col min="54" max="54" width="11" style="36" bestFit="1" customWidth="1"/>
    <col min="55" max="55" width="13.140625" style="36" bestFit="1" customWidth="1"/>
    <col min="56" max="56" width="3" style="36" bestFit="1" customWidth="1"/>
    <col min="57" max="57" width="11" style="36" bestFit="1" customWidth="1"/>
    <col min="58" max="58" width="13.140625" style="36" bestFit="1" customWidth="1"/>
    <col min="59" max="59" width="3" style="36" bestFit="1" customWidth="1"/>
    <col min="60" max="60" width="11" style="36" bestFit="1" customWidth="1"/>
    <col min="61" max="61" width="13.140625" style="36" bestFit="1" customWidth="1"/>
    <col min="62" max="62" width="3" style="36" bestFit="1" customWidth="1"/>
    <col min="63" max="63" width="11" style="36" bestFit="1" customWidth="1"/>
    <col min="64" max="64" width="13.140625" style="36" bestFit="1" customWidth="1"/>
    <col min="65" max="65" width="3" style="36" bestFit="1" customWidth="1"/>
    <col min="66" max="66" width="11" style="36" bestFit="1" customWidth="1"/>
    <col min="67" max="67" width="13.140625" style="36" bestFit="1" customWidth="1"/>
    <col min="68" max="68" width="3" style="36" bestFit="1" customWidth="1"/>
    <col min="69" max="69" width="11" style="36" bestFit="1" customWidth="1"/>
    <col min="70" max="70" width="13.140625" style="36" bestFit="1" customWidth="1"/>
    <col min="71" max="71" width="3" style="36" bestFit="1" customWidth="1"/>
    <col min="72" max="72" width="11" style="36" bestFit="1" customWidth="1"/>
    <col min="73" max="73" width="13.140625" style="36" bestFit="1" customWidth="1"/>
    <col min="74" max="74" width="3" style="36" bestFit="1" customWidth="1"/>
    <col min="75" max="75" width="11" style="36" bestFit="1" customWidth="1"/>
    <col min="76" max="76" width="13.140625" style="36" bestFit="1" customWidth="1"/>
    <col min="77" max="77" width="3" style="36" bestFit="1" customWidth="1"/>
    <col min="78" max="78" width="11" style="36" bestFit="1" customWidth="1"/>
    <col min="79" max="79" width="13.140625" style="36" bestFit="1" customWidth="1"/>
    <col min="80" max="80" width="3" style="36" bestFit="1" customWidth="1"/>
    <col min="81" max="81" width="10.42578125" style="36" bestFit="1" customWidth="1"/>
    <col min="82" max="82" width="13.140625" style="36" bestFit="1" customWidth="1"/>
    <col min="83" max="83" width="12.140625" style="36" bestFit="1" customWidth="1"/>
    <col min="84" max="84" width="3" style="36" bestFit="1" customWidth="1"/>
    <col min="85" max="85" width="10.42578125" style="36" bestFit="1" customWidth="1"/>
    <col min="86" max="86" width="13.140625" style="36" bestFit="1" customWidth="1"/>
    <col min="87" max="88" width="9.140625" style="36" customWidth="1"/>
    <col min="89" max="89" width="13.140625" style="36" bestFit="1" customWidth="1"/>
    <col min="90" max="16384" width="11.42578125" style="36"/>
  </cols>
  <sheetData>
    <row r="1" spans="1:52" s="352" customFormat="1" x14ac:dyDescent="0.2">
      <c r="A1" s="508"/>
      <c r="B1" s="508"/>
      <c r="C1" s="508"/>
      <c r="D1" s="509"/>
      <c r="E1" s="509"/>
      <c r="F1" s="509"/>
      <c r="G1" s="509"/>
      <c r="H1" s="509"/>
      <c r="I1" s="509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508"/>
      <c r="W1" s="508"/>
      <c r="X1" s="508"/>
      <c r="Y1" s="508"/>
      <c r="Z1" s="508"/>
      <c r="AA1" s="508"/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8"/>
      <c r="AM1" s="508"/>
      <c r="AN1" s="508"/>
      <c r="AO1" s="508"/>
      <c r="AP1" s="508"/>
      <c r="AQ1" s="508"/>
      <c r="AR1" s="508"/>
      <c r="AS1" s="508"/>
      <c r="AT1" s="508"/>
      <c r="AU1" s="508"/>
      <c r="AV1" s="508"/>
      <c r="AW1" s="508"/>
      <c r="AX1" s="508"/>
      <c r="AY1" s="508"/>
    </row>
    <row r="2" spans="1:52" x14ac:dyDescent="0.2">
      <c r="A2" s="492"/>
      <c r="B2" s="492"/>
      <c r="C2" s="492"/>
      <c r="D2" s="492"/>
      <c r="E2" s="492"/>
      <c r="F2" s="492"/>
      <c r="G2" s="492"/>
      <c r="H2" s="492"/>
      <c r="I2" s="492"/>
      <c r="J2" s="510"/>
      <c r="K2" s="492"/>
      <c r="L2" s="492"/>
      <c r="M2" s="510"/>
      <c r="N2" s="492"/>
      <c r="O2" s="510"/>
      <c r="P2" s="492"/>
      <c r="Q2" s="492"/>
      <c r="R2" s="510"/>
      <c r="S2" s="492"/>
      <c r="T2" s="492"/>
      <c r="U2" s="510"/>
      <c r="V2" s="492"/>
      <c r="W2" s="492"/>
      <c r="X2" s="510"/>
      <c r="Y2" s="492"/>
      <c r="Z2" s="492"/>
      <c r="AA2" s="510"/>
      <c r="AB2" s="492"/>
      <c r="AC2" s="492"/>
      <c r="AD2" s="510"/>
      <c r="AE2" s="492"/>
      <c r="AF2" s="492"/>
      <c r="AG2" s="510"/>
      <c r="AH2" s="492"/>
      <c r="AI2" s="492"/>
      <c r="AJ2" s="510"/>
      <c r="AK2" s="492"/>
      <c r="AL2" s="492"/>
      <c r="AM2" s="510"/>
      <c r="AN2" s="492"/>
      <c r="AO2" s="492"/>
      <c r="AP2" s="510"/>
      <c r="AQ2" s="492"/>
      <c r="AR2" s="492"/>
      <c r="AS2" s="510"/>
      <c r="AT2" s="492"/>
      <c r="AU2" s="492"/>
      <c r="AV2" s="510"/>
      <c r="AW2" s="492"/>
      <c r="AX2" s="492"/>
      <c r="AY2" s="510"/>
    </row>
    <row r="3" spans="1:52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492"/>
      <c r="L3" s="492"/>
      <c r="M3" s="492"/>
      <c r="N3" s="492"/>
      <c r="O3" s="492"/>
      <c r="P3" s="492"/>
      <c r="Q3" s="492"/>
      <c r="R3" s="492"/>
      <c r="S3" s="492"/>
      <c r="T3" s="492"/>
      <c r="U3" s="492"/>
      <c r="V3" s="492"/>
      <c r="W3" s="492"/>
      <c r="X3" s="492"/>
      <c r="Y3" s="492"/>
      <c r="Z3" s="492"/>
      <c r="AA3" s="492"/>
      <c r="AB3" s="492"/>
      <c r="AC3" s="492"/>
      <c r="AD3" s="492"/>
      <c r="AE3" s="492"/>
      <c r="AF3" s="492"/>
      <c r="AG3" s="492"/>
      <c r="AH3" s="492"/>
      <c r="AI3" s="492"/>
      <c r="AJ3" s="492"/>
      <c r="AK3" s="492"/>
      <c r="AL3" s="492"/>
      <c r="AM3" s="492"/>
      <c r="AN3" s="492"/>
      <c r="AO3" s="492"/>
      <c r="AP3" s="492"/>
      <c r="AQ3" s="492"/>
      <c r="AR3" s="492"/>
      <c r="AS3" s="492"/>
      <c r="AT3" s="492"/>
      <c r="AU3" s="492"/>
      <c r="AV3" s="492"/>
      <c r="AW3" s="492"/>
      <c r="AX3" s="492"/>
      <c r="AY3" s="492"/>
    </row>
    <row r="4" spans="1:52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  <c r="Q4" s="492"/>
      <c r="R4" s="492"/>
      <c r="S4" s="492"/>
      <c r="T4" s="492"/>
      <c r="U4" s="492"/>
      <c r="V4" s="492"/>
      <c r="W4" s="492"/>
      <c r="X4" s="492"/>
      <c r="Y4" s="492"/>
      <c r="Z4" s="492"/>
      <c r="AA4" s="492"/>
      <c r="AB4" s="492"/>
      <c r="AC4" s="492"/>
      <c r="AD4" s="492"/>
      <c r="AE4" s="492"/>
      <c r="AF4" s="492"/>
      <c r="AG4" s="492"/>
      <c r="AH4" s="492"/>
      <c r="AI4" s="492"/>
      <c r="AJ4" s="492"/>
      <c r="AK4" s="492"/>
      <c r="AL4" s="492"/>
      <c r="AM4" s="492"/>
      <c r="AN4" s="492"/>
      <c r="AO4" s="492"/>
      <c r="AP4" s="492"/>
      <c r="AQ4" s="492"/>
      <c r="AR4" s="492"/>
      <c r="AS4" s="492"/>
      <c r="AT4" s="492"/>
      <c r="AU4" s="492"/>
      <c r="AV4" s="492"/>
      <c r="AW4" s="492"/>
      <c r="AX4" s="492"/>
      <c r="AY4" s="492"/>
    </row>
    <row r="5" spans="1:52" x14ac:dyDescent="0.2">
      <c r="A5" s="492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2"/>
      <c r="R5" s="492"/>
      <c r="S5" s="492"/>
      <c r="T5" s="492"/>
      <c r="U5" s="492"/>
      <c r="V5" s="492"/>
      <c r="W5" s="492"/>
      <c r="X5" s="492"/>
      <c r="Y5" s="492"/>
      <c r="Z5" s="492"/>
      <c r="AA5" s="492"/>
      <c r="AB5" s="492"/>
      <c r="AC5" s="492"/>
      <c r="AD5" s="492"/>
      <c r="AE5" s="492"/>
      <c r="AF5" s="492"/>
      <c r="AG5" s="492"/>
      <c r="AH5" s="492"/>
      <c r="AI5" s="492"/>
      <c r="AJ5" s="492"/>
      <c r="AK5" s="492"/>
      <c r="AL5" s="492"/>
      <c r="AM5" s="492"/>
      <c r="AN5" s="492"/>
      <c r="AO5" s="492"/>
      <c r="AP5" s="492"/>
      <c r="AQ5" s="492"/>
      <c r="AR5" s="492"/>
      <c r="AS5" s="492"/>
      <c r="AT5" s="492"/>
      <c r="AU5" s="492"/>
      <c r="AV5" s="492"/>
      <c r="AW5" s="492"/>
      <c r="AX5" s="492"/>
      <c r="AY5" s="492"/>
      <c r="AZ5" s="492"/>
    </row>
    <row r="6" spans="1:52" x14ac:dyDescent="0.2">
      <c r="A6" s="492"/>
      <c r="B6" s="492"/>
      <c r="C6" s="492"/>
      <c r="D6" s="492"/>
      <c r="E6" s="492"/>
      <c r="F6" s="492"/>
      <c r="G6" s="492"/>
      <c r="H6" s="492"/>
      <c r="I6" s="492"/>
      <c r="J6" s="492"/>
      <c r="K6" s="492"/>
      <c r="L6" s="492"/>
      <c r="M6" s="492"/>
      <c r="N6" s="492"/>
      <c r="O6" s="492"/>
      <c r="P6" s="492"/>
      <c r="Q6" s="492"/>
      <c r="R6" s="492"/>
      <c r="S6" s="492"/>
      <c r="T6" s="492"/>
      <c r="U6" s="492"/>
      <c r="V6" s="492"/>
      <c r="W6" s="492"/>
      <c r="X6" s="492"/>
      <c r="Y6" s="492"/>
      <c r="Z6" s="492"/>
      <c r="AA6" s="492"/>
      <c r="AB6" s="492"/>
      <c r="AC6" s="492"/>
      <c r="AD6" s="492"/>
      <c r="AE6" s="492"/>
      <c r="AF6" s="492"/>
      <c r="AG6" s="492"/>
      <c r="AH6" s="492"/>
      <c r="AI6" s="492"/>
      <c r="AJ6" s="492"/>
      <c r="AK6" s="492"/>
      <c r="AL6" s="492"/>
      <c r="AM6" s="492"/>
      <c r="AN6" s="492"/>
      <c r="AO6" s="492"/>
      <c r="AP6" s="492"/>
      <c r="AQ6" s="492"/>
      <c r="AR6" s="492"/>
      <c r="AS6" s="492"/>
      <c r="AT6" s="492"/>
      <c r="AU6" s="492"/>
      <c r="AV6" s="492"/>
      <c r="AW6" s="492"/>
      <c r="AX6" s="492"/>
      <c r="AY6" s="492"/>
      <c r="AZ6" s="492"/>
    </row>
    <row r="7" spans="1:52" x14ac:dyDescent="0.2">
      <c r="A7" s="492"/>
      <c r="B7" s="492"/>
      <c r="C7" s="492"/>
      <c r="D7" s="492"/>
      <c r="E7" s="492"/>
      <c r="F7" s="492"/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2"/>
      <c r="R7" s="492"/>
      <c r="S7" s="492"/>
      <c r="T7" s="492"/>
      <c r="U7" s="492"/>
      <c r="V7" s="492"/>
      <c r="W7" s="492"/>
      <c r="X7" s="492"/>
      <c r="Y7" s="492"/>
      <c r="Z7" s="492"/>
      <c r="AA7" s="492"/>
      <c r="AB7" s="492"/>
      <c r="AC7" s="492"/>
      <c r="AD7" s="492"/>
      <c r="AE7" s="492"/>
      <c r="AF7" s="492"/>
      <c r="AG7" s="492"/>
      <c r="AH7" s="492"/>
      <c r="AI7" s="492"/>
      <c r="AJ7" s="492"/>
      <c r="AK7" s="492"/>
      <c r="AL7" s="492"/>
      <c r="AM7" s="492"/>
      <c r="AN7" s="492"/>
      <c r="AO7" s="492"/>
      <c r="AP7" s="492"/>
      <c r="AQ7" s="492"/>
      <c r="AR7" s="492"/>
      <c r="AS7" s="492"/>
      <c r="AT7" s="492"/>
      <c r="AU7" s="492"/>
      <c r="AV7" s="492"/>
      <c r="AW7" s="492"/>
      <c r="AX7" s="492"/>
      <c r="AY7" s="492"/>
      <c r="AZ7" s="492"/>
    </row>
    <row r="8" spans="1:52" x14ac:dyDescent="0.2">
      <c r="A8" s="492"/>
      <c r="B8" s="492"/>
      <c r="C8" s="492"/>
      <c r="D8" s="492"/>
      <c r="E8" s="492"/>
      <c r="F8" s="492"/>
      <c r="G8" s="492"/>
      <c r="H8" s="492"/>
      <c r="I8" s="492"/>
      <c r="J8" s="492"/>
      <c r="K8" s="492"/>
      <c r="L8" s="492"/>
      <c r="M8" s="492"/>
      <c r="N8" s="492"/>
      <c r="O8" s="492"/>
      <c r="P8" s="492"/>
      <c r="Q8" s="492"/>
      <c r="R8" s="492"/>
      <c r="S8" s="492"/>
      <c r="T8" s="492"/>
      <c r="U8" s="492"/>
      <c r="V8" s="492"/>
      <c r="W8" s="492"/>
      <c r="X8" s="492"/>
      <c r="Y8" s="492"/>
      <c r="Z8" s="492"/>
      <c r="AA8" s="492"/>
      <c r="AB8" s="492"/>
      <c r="AC8" s="492"/>
      <c r="AD8" s="492"/>
      <c r="AE8" s="492"/>
      <c r="AF8" s="492"/>
      <c r="AG8" s="492"/>
      <c r="AH8" s="492"/>
      <c r="AI8" s="492"/>
      <c r="AJ8" s="492"/>
      <c r="AK8" s="492"/>
      <c r="AL8" s="492"/>
      <c r="AM8" s="492"/>
      <c r="AN8" s="492"/>
      <c r="AO8" s="492"/>
      <c r="AP8" s="492"/>
      <c r="AQ8" s="492"/>
      <c r="AR8" s="492"/>
      <c r="AS8" s="492"/>
      <c r="AT8" s="492"/>
      <c r="AU8" s="492"/>
      <c r="AV8" s="492"/>
      <c r="AW8" s="492"/>
      <c r="AX8" s="492"/>
      <c r="AY8" s="492"/>
      <c r="AZ8" s="492"/>
    </row>
    <row r="9" spans="1:52" x14ac:dyDescent="0.2">
      <c r="A9" s="492"/>
      <c r="B9" s="492"/>
      <c r="C9" s="492"/>
      <c r="D9" s="492"/>
      <c r="E9" s="492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/>
      <c r="Q9" s="492"/>
      <c r="R9" s="492"/>
      <c r="S9" s="492"/>
      <c r="T9" s="492"/>
      <c r="U9" s="492"/>
      <c r="V9" s="492"/>
      <c r="W9" s="492"/>
      <c r="X9" s="492"/>
      <c r="Y9" s="492"/>
      <c r="Z9" s="492"/>
      <c r="AA9" s="492"/>
      <c r="AB9" s="492"/>
      <c r="AC9" s="492"/>
      <c r="AD9" s="492"/>
      <c r="AE9" s="492"/>
      <c r="AF9" s="492"/>
      <c r="AG9" s="492"/>
      <c r="AH9" s="492"/>
      <c r="AI9" s="492"/>
      <c r="AJ9" s="492"/>
      <c r="AK9" s="492"/>
      <c r="AL9" s="492"/>
      <c r="AM9" s="492"/>
      <c r="AN9" s="492"/>
      <c r="AO9" s="492"/>
      <c r="AP9" s="492"/>
      <c r="AQ9" s="492"/>
      <c r="AR9" s="492"/>
      <c r="AS9" s="492"/>
      <c r="AT9" s="492"/>
      <c r="AU9" s="492"/>
      <c r="AV9" s="492"/>
      <c r="AW9" s="492"/>
      <c r="AX9" s="492"/>
      <c r="AY9" s="492"/>
      <c r="AZ9" s="492"/>
    </row>
    <row r="10" spans="1:52" x14ac:dyDescent="0.2">
      <c r="A10" s="492"/>
      <c r="B10" s="492"/>
      <c r="C10" s="492"/>
      <c r="D10" s="492"/>
      <c r="E10" s="492"/>
      <c r="F10" s="492"/>
      <c r="G10" s="492"/>
      <c r="H10" s="492"/>
      <c r="I10" s="492"/>
      <c r="J10" s="492"/>
      <c r="K10" s="492"/>
      <c r="L10" s="492"/>
      <c r="M10" s="492"/>
      <c r="N10" s="492"/>
      <c r="O10" s="492"/>
      <c r="P10" s="492"/>
      <c r="Q10" s="492"/>
      <c r="R10" s="492"/>
      <c r="S10" s="492"/>
      <c r="T10" s="492"/>
      <c r="U10" s="492"/>
      <c r="V10" s="492"/>
      <c r="W10" s="492"/>
      <c r="X10" s="492"/>
      <c r="Y10" s="492"/>
      <c r="Z10" s="492"/>
      <c r="AA10" s="492"/>
      <c r="AB10" s="492"/>
      <c r="AC10" s="492"/>
      <c r="AD10" s="492"/>
      <c r="AE10" s="492"/>
      <c r="AF10" s="492"/>
      <c r="AG10" s="492"/>
      <c r="AH10" s="492"/>
      <c r="AI10" s="492"/>
      <c r="AJ10" s="492"/>
      <c r="AK10" s="492"/>
      <c r="AL10" s="492"/>
      <c r="AM10" s="492"/>
      <c r="AN10" s="492"/>
      <c r="AO10" s="492"/>
      <c r="AP10" s="492"/>
      <c r="AQ10" s="492"/>
      <c r="AR10" s="492"/>
      <c r="AS10" s="492"/>
      <c r="AT10" s="492"/>
      <c r="AU10" s="492"/>
      <c r="AV10" s="492"/>
      <c r="AW10" s="492"/>
      <c r="AX10" s="492"/>
      <c r="AY10" s="492"/>
      <c r="AZ10" s="492"/>
    </row>
    <row r="11" spans="1:52" x14ac:dyDescent="0.2">
      <c r="A11" s="492"/>
      <c r="B11" s="492"/>
      <c r="C11" s="492"/>
      <c r="D11" s="492"/>
      <c r="E11" s="492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/>
      <c r="Q11" s="492"/>
      <c r="R11" s="492"/>
      <c r="S11" s="492"/>
      <c r="T11" s="492"/>
      <c r="U11" s="492"/>
      <c r="V11" s="492"/>
      <c r="W11" s="492"/>
      <c r="X11" s="492"/>
      <c r="Y11" s="492"/>
      <c r="Z11" s="492"/>
      <c r="AA11" s="492"/>
      <c r="AB11" s="492"/>
      <c r="AC11" s="492"/>
      <c r="AD11" s="492"/>
      <c r="AE11" s="492"/>
      <c r="AF11" s="492"/>
      <c r="AG11" s="492"/>
      <c r="AH11" s="492"/>
      <c r="AI11" s="492"/>
      <c r="AJ11" s="492"/>
      <c r="AK11" s="492"/>
      <c r="AL11" s="492"/>
      <c r="AM11" s="492"/>
      <c r="AN11" s="492"/>
      <c r="AO11" s="492"/>
      <c r="AP11" s="492"/>
      <c r="AQ11" s="492"/>
      <c r="AR11" s="492"/>
      <c r="AS11" s="492"/>
      <c r="AT11" s="492"/>
      <c r="AU11" s="492"/>
      <c r="AV11" s="492"/>
      <c r="AW11" s="492"/>
      <c r="AX11" s="492"/>
      <c r="AY11" s="492"/>
      <c r="AZ11" s="492"/>
    </row>
    <row r="12" spans="1:52" x14ac:dyDescent="0.2">
      <c r="A12" s="492"/>
      <c r="B12" s="492"/>
      <c r="C12" s="492"/>
      <c r="D12" s="492"/>
      <c r="E12" s="492"/>
      <c r="F12" s="492"/>
      <c r="G12" s="492"/>
      <c r="H12" s="492"/>
      <c r="I12" s="492"/>
      <c r="J12" s="492"/>
      <c r="K12" s="492"/>
      <c r="L12" s="492"/>
      <c r="M12" s="492"/>
      <c r="N12" s="492"/>
      <c r="O12" s="492"/>
      <c r="P12" s="492"/>
      <c r="Q12" s="492"/>
      <c r="R12" s="492"/>
      <c r="S12" s="492"/>
      <c r="T12" s="492"/>
      <c r="U12" s="492"/>
      <c r="V12" s="492"/>
      <c r="W12" s="492"/>
      <c r="X12" s="492"/>
      <c r="Y12" s="492"/>
      <c r="Z12" s="492"/>
      <c r="AA12" s="492"/>
      <c r="AB12" s="492"/>
      <c r="AC12" s="492"/>
      <c r="AD12" s="492"/>
      <c r="AE12" s="492"/>
      <c r="AF12" s="492"/>
      <c r="AG12" s="492"/>
      <c r="AH12" s="492"/>
      <c r="AI12" s="492"/>
      <c r="AJ12" s="492"/>
      <c r="AK12" s="492"/>
      <c r="AL12" s="492"/>
      <c r="AM12" s="492"/>
      <c r="AN12" s="492"/>
      <c r="AO12" s="492"/>
      <c r="AP12" s="492"/>
      <c r="AQ12" s="492"/>
      <c r="AR12" s="492"/>
      <c r="AS12" s="492"/>
      <c r="AT12" s="492"/>
      <c r="AU12" s="492"/>
      <c r="AV12" s="492"/>
      <c r="AW12" s="492"/>
      <c r="AX12" s="492"/>
      <c r="AY12" s="492"/>
      <c r="AZ12" s="492"/>
    </row>
    <row r="13" spans="1:52" x14ac:dyDescent="0.2">
      <c r="A13" s="492"/>
      <c r="B13" s="492"/>
      <c r="C13" s="492"/>
      <c r="D13" s="492"/>
      <c r="E13" s="492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2"/>
      <c r="R13" s="492"/>
      <c r="S13" s="492"/>
      <c r="T13" s="492"/>
      <c r="U13" s="492"/>
      <c r="V13" s="492"/>
      <c r="W13" s="492"/>
      <c r="X13" s="492"/>
      <c r="Y13" s="492"/>
      <c r="Z13" s="492"/>
      <c r="AA13" s="492"/>
      <c r="AB13" s="492"/>
      <c r="AC13" s="492"/>
      <c r="AD13" s="492"/>
      <c r="AE13" s="492"/>
      <c r="AF13" s="492"/>
      <c r="AG13" s="492"/>
      <c r="AH13" s="492"/>
      <c r="AI13" s="492"/>
      <c r="AJ13" s="492"/>
      <c r="AK13" s="492"/>
      <c r="AL13" s="492"/>
      <c r="AM13" s="492"/>
      <c r="AN13" s="492"/>
      <c r="AO13" s="492"/>
      <c r="AP13" s="492"/>
      <c r="AQ13" s="492"/>
      <c r="AR13" s="492"/>
      <c r="AS13" s="492"/>
      <c r="AT13" s="492"/>
      <c r="AU13" s="492"/>
      <c r="AV13" s="492"/>
      <c r="AW13" s="492"/>
      <c r="AX13" s="492"/>
      <c r="AY13" s="492"/>
      <c r="AZ13" s="492"/>
    </row>
    <row r="14" spans="1:52" x14ac:dyDescent="0.2">
      <c r="A14" s="492"/>
      <c r="B14" s="492"/>
      <c r="C14" s="492"/>
      <c r="D14" s="492"/>
      <c r="E14" s="492"/>
      <c r="F14" s="492"/>
      <c r="G14" s="492"/>
      <c r="H14" s="492"/>
      <c r="I14" s="492"/>
      <c r="J14" s="492"/>
      <c r="K14" s="492"/>
      <c r="L14" s="492"/>
      <c r="M14" s="492"/>
      <c r="N14" s="492"/>
      <c r="O14" s="492"/>
      <c r="P14" s="492"/>
      <c r="Q14" s="492"/>
      <c r="R14" s="492"/>
      <c r="S14" s="492"/>
      <c r="T14" s="492"/>
      <c r="U14" s="492"/>
      <c r="V14" s="492"/>
      <c r="W14" s="492"/>
      <c r="X14" s="492"/>
      <c r="Y14" s="492"/>
      <c r="Z14" s="492"/>
      <c r="AA14" s="492"/>
      <c r="AB14" s="492"/>
      <c r="AC14" s="492"/>
      <c r="AD14" s="492"/>
      <c r="AE14" s="492"/>
      <c r="AF14" s="492"/>
      <c r="AG14" s="492"/>
      <c r="AH14" s="492"/>
      <c r="AI14" s="492"/>
      <c r="AJ14" s="492"/>
      <c r="AK14" s="492"/>
      <c r="AL14" s="492"/>
      <c r="AM14" s="492"/>
      <c r="AN14" s="492"/>
      <c r="AO14" s="492"/>
      <c r="AP14" s="492"/>
      <c r="AQ14" s="492"/>
      <c r="AR14" s="492"/>
      <c r="AS14" s="492"/>
      <c r="AT14" s="492"/>
      <c r="AU14" s="492"/>
      <c r="AV14" s="492"/>
      <c r="AW14" s="492"/>
      <c r="AX14" s="492"/>
      <c r="AY14" s="492"/>
      <c r="AZ14" s="492"/>
    </row>
    <row r="15" spans="1:52" x14ac:dyDescent="0.2">
      <c r="A15" s="492"/>
      <c r="B15" s="492"/>
      <c r="C15" s="492"/>
      <c r="D15" s="492"/>
      <c r="E15" s="492"/>
      <c r="F15" s="492"/>
      <c r="G15" s="492"/>
      <c r="H15" s="492"/>
      <c r="I15" s="492"/>
      <c r="J15" s="492"/>
      <c r="K15" s="492"/>
      <c r="L15" s="492"/>
      <c r="M15" s="492"/>
      <c r="N15" s="492"/>
      <c r="O15" s="492"/>
      <c r="P15" s="492"/>
      <c r="Q15" s="492"/>
      <c r="R15" s="492"/>
      <c r="S15" s="492"/>
      <c r="T15" s="492"/>
      <c r="U15" s="492"/>
      <c r="V15" s="492"/>
      <c r="W15" s="492"/>
      <c r="X15" s="492"/>
      <c r="Y15" s="492"/>
      <c r="Z15" s="492"/>
      <c r="AA15" s="492"/>
      <c r="AB15" s="492"/>
      <c r="AC15" s="492"/>
      <c r="AD15" s="492"/>
      <c r="AE15" s="492"/>
      <c r="AF15" s="492"/>
      <c r="AG15" s="492"/>
      <c r="AH15" s="492"/>
      <c r="AI15" s="492"/>
      <c r="AJ15" s="492"/>
      <c r="AK15" s="492"/>
      <c r="AL15" s="492"/>
      <c r="AM15" s="492"/>
      <c r="AN15" s="492"/>
      <c r="AO15" s="492"/>
      <c r="AP15" s="492"/>
      <c r="AQ15" s="492"/>
      <c r="AR15" s="492"/>
      <c r="AS15" s="492"/>
      <c r="AT15" s="492"/>
      <c r="AU15" s="492"/>
      <c r="AV15" s="492"/>
      <c r="AW15" s="492"/>
      <c r="AX15" s="492"/>
      <c r="AY15" s="492"/>
      <c r="AZ15" s="492"/>
    </row>
    <row r="16" spans="1:52" x14ac:dyDescent="0.2">
      <c r="A16" s="492"/>
      <c r="B16" s="492"/>
      <c r="C16" s="492"/>
      <c r="D16" s="492"/>
      <c r="E16" s="492"/>
      <c r="F16" s="492"/>
      <c r="G16" s="492"/>
      <c r="H16" s="492"/>
      <c r="I16" s="492"/>
      <c r="J16" s="492"/>
      <c r="K16" s="492"/>
      <c r="L16" s="492"/>
      <c r="M16" s="492"/>
      <c r="N16" s="492"/>
      <c r="O16" s="492"/>
      <c r="P16" s="492"/>
      <c r="Q16" s="492"/>
      <c r="R16" s="492"/>
      <c r="S16" s="492"/>
      <c r="T16" s="492"/>
      <c r="U16" s="492"/>
      <c r="V16" s="492"/>
      <c r="W16" s="492"/>
      <c r="X16" s="492"/>
      <c r="Y16" s="492"/>
      <c r="Z16" s="492"/>
      <c r="AA16" s="492"/>
      <c r="AB16" s="492"/>
      <c r="AC16" s="492"/>
      <c r="AD16" s="492"/>
      <c r="AE16" s="492"/>
      <c r="AF16" s="492"/>
      <c r="AG16" s="492"/>
      <c r="AH16" s="492"/>
      <c r="AI16" s="492"/>
      <c r="AJ16" s="492"/>
      <c r="AK16" s="492"/>
      <c r="AL16" s="492"/>
      <c r="AM16" s="492"/>
      <c r="AN16" s="492"/>
      <c r="AO16" s="492"/>
      <c r="AP16" s="492"/>
      <c r="AQ16" s="492"/>
      <c r="AR16" s="492"/>
      <c r="AS16" s="492"/>
      <c r="AT16" s="492"/>
      <c r="AU16" s="492"/>
      <c r="AV16" s="492"/>
      <c r="AW16" s="492"/>
      <c r="AX16" s="492"/>
      <c r="AY16" s="492"/>
      <c r="AZ16" s="492"/>
    </row>
    <row r="17" spans="1:52" x14ac:dyDescent="0.2">
      <c r="A17" s="492"/>
      <c r="B17" s="492"/>
      <c r="C17" s="492"/>
      <c r="D17" s="492"/>
      <c r="E17" s="492"/>
      <c r="F17" s="492"/>
      <c r="G17" s="492"/>
      <c r="H17" s="492"/>
      <c r="I17" s="492"/>
      <c r="J17" s="492"/>
      <c r="K17" s="492"/>
      <c r="L17" s="492"/>
      <c r="M17" s="492"/>
      <c r="N17" s="492"/>
      <c r="O17" s="492"/>
      <c r="P17" s="492"/>
      <c r="Q17" s="492"/>
      <c r="R17" s="492"/>
      <c r="S17" s="492"/>
      <c r="T17" s="492"/>
      <c r="U17" s="492"/>
      <c r="V17" s="492"/>
      <c r="W17" s="492"/>
      <c r="X17" s="492"/>
      <c r="Y17" s="492"/>
      <c r="Z17" s="492"/>
      <c r="AA17" s="492"/>
      <c r="AB17" s="492"/>
      <c r="AC17" s="492"/>
      <c r="AD17" s="492"/>
      <c r="AE17" s="492"/>
      <c r="AF17" s="492"/>
      <c r="AG17" s="492"/>
      <c r="AH17" s="492"/>
      <c r="AI17" s="492"/>
      <c r="AJ17" s="492"/>
      <c r="AK17" s="492"/>
      <c r="AL17" s="492"/>
      <c r="AM17" s="492"/>
      <c r="AN17" s="492"/>
      <c r="AO17" s="492"/>
      <c r="AP17" s="492"/>
      <c r="AQ17" s="492"/>
      <c r="AR17" s="492"/>
      <c r="AS17" s="492"/>
      <c r="AT17" s="492"/>
      <c r="AU17" s="492"/>
      <c r="AV17" s="492"/>
      <c r="AW17" s="492"/>
      <c r="AX17" s="492"/>
      <c r="AY17" s="492"/>
      <c r="AZ17" s="492"/>
    </row>
    <row r="18" spans="1:52" x14ac:dyDescent="0.2">
      <c r="A18" s="492"/>
      <c r="B18" s="492"/>
      <c r="C18" s="492"/>
      <c r="D18" s="492"/>
      <c r="E18" s="492"/>
      <c r="F18" s="492"/>
      <c r="G18" s="492"/>
      <c r="H18" s="492"/>
      <c r="I18" s="492"/>
      <c r="J18" s="492"/>
      <c r="K18" s="492"/>
      <c r="L18" s="492"/>
      <c r="M18" s="492"/>
      <c r="N18" s="492"/>
      <c r="O18" s="492"/>
      <c r="P18" s="492"/>
      <c r="Q18" s="492"/>
      <c r="R18" s="492"/>
      <c r="S18" s="492"/>
      <c r="T18" s="492"/>
      <c r="U18" s="492"/>
      <c r="V18" s="492"/>
      <c r="W18" s="492"/>
      <c r="X18" s="492"/>
      <c r="Y18" s="492"/>
      <c r="Z18" s="492"/>
      <c r="AA18" s="492"/>
      <c r="AB18" s="492"/>
      <c r="AC18" s="492"/>
      <c r="AD18" s="492"/>
      <c r="AE18" s="492"/>
      <c r="AF18" s="492"/>
      <c r="AG18" s="492"/>
      <c r="AH18" s="492"/>
      <c r="AI18" s="492"/>
      <c r="AJ18" s="492"/>
      <c r="AK18" s="492"/>
      <c r="AL18" s="492"/>
      <c r="AM18" s="492"/>
      <c r="AN18" s="492"/>
      <c r="AO18" s="492"/>
      <c r="AP18" s="492"/>
      <c r="AQ18" s="492"/>
      <c r="AR18" s="492"/>
      <c r="AS18" s="492"/>
      <c r="AT18" s="492"/>
      <c r="AU18" s="492"/>
      <c r="AV18" s="492"/>
      <c r="AW18" s="492"/>
      <c r="AX18" s="492"/>
      <c r="AY18" s="492"/>
      <c r="AZ18" s="492"/>
    </row>
    <row r="19" spans="1:52" x14ac:dyDescent="0.2">
      <c r="A19" s="492"/>
      <c r="B19" s="492"/>
      <c r="C19" s="492"/>
      <c r="D19" s="492"/>
      <c r="E19" s="492"/>
      <c r="F19" s="492"/>
      <c r="G19" s="492"/>
      <c r="H19" s="492"/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492"/>
      <c r="AA19" s="492"/>
      <c r="AB19" s="492"/>
      <c r="AC19" s="492"/>
      <c r="AD19" s="492"/>
      <c r="AE19" s="492"/>
      <c r="AF19" s="492"/>
      <c r="AG19" s="492"/>
      <c r="AH19" s="492"/>
      <c r="AI19" s="492"/>
      <c r="AJ19" s="492"/>
      <c r="AK19" s="492"/>
      <c r="AL19" s="492"/>
      <c r="AM19" s="492"/>
      <c r="AN19" s="492"/>
      <c r="AO19" s="492"/>
      <c r="AP19" s="492"/>
      <c r="AQ19" s="492"/>
      <c r="AR19" s="492"/>
      <c r="AS19" s="492"/>
      <c r="AT19" s="492"/>
      <c r="AU19" s="492"/>
      <c r="AV19" s="492"/>
      <c r="AW19" s="492"/>
      <c r="AX19" s="492"/>
      <c r="AY19" s="492"/>
      <c r="AZ19" s="492"/>
    </row>
    <row r="20" spans="1:52" x14ac:dyDescent="0.2">
      <c r="A20" s="492"/>
      <c r="B20" s="492"/>
      <c r="C20" s="492"/>
      <c r="D20" s="492"/>
      <c r="E20" s="492"/>
      <c r="F20" s="492"/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2"/>
      <c r="R20" s="492"/>
      <c r="S20" s="492"/>
      <c r="T20" s="492"/>
      <c r="U20" s="492"/>
      <c r="V20" s="492"/>
      <c r="W20" s="492"/>
      <c r="X20" s="492"/>
      <c r="Y20" s="492"/>
      <c r="Z20" s="492"/>
      <c r="AA20" s="492"/>
      <c r="AB20" s="492"/>
      <c r="AC20" s="492"/>
      <c r="AD20" s="492"/>
      <c r="AE20" s="492"/>
      <c r="AF20" s="492"/>
      <c r="AG20" s="492"/>
      <c r="AH20" s="492"/>
      <c r="AI20" s="492"/>
      <c r="AJ20" s="492"/>
      <c r="AK20" s="492"/>
      <c r="AL20" s="492"/>
      <c r="AM20" s="492"/>
      <c r="AN20" s="492"/>
      <c r="AO20" s="492"/>
      <c r="AP20" s="492"/>
      <c r="AQ20" s="492"/>
      <c r="AR20" s="492"/>
      <c r="AS20" s="492"/>
      <c r="AT20" s="492"/>
      <c r="AU20" s="492"/>
      <c r="AV20" s="492"/>
      <c r="AW20" s="492"/>
      <c r="AX20" s="492"/>
      <c r="AY20" s="492"/>
      <c r="AZ20" s="492"/>
    </row>
    <row r="21" spans="1:52" x14ac:dyDescent="0.2">
      <c r="A21" s="492"/>
      <c r="B21" s="492"/>
      <c r="C21" s="492"/>
      <c r="D21" s="492"/>
      <c r="E21" s="492"/>
      <c r="F21" s="492"/>
      <c r="G21" s="492"/>
      <c r="H21" s="492"/>
      <c r="I21" s="492"/>
      <c r="J21" s="492"/>
      <c r="K21" s="492"/>
      <c r="L21" s="492"/>
      <c r="M21" s="492"/>
      <c r="N21" s="492"/>
      <c r="O21" s="492"/>
      <c r="P21" s="492"/>
      <c r="Q21" s="492"/>
      <c r="R21" s="492"/>
      <c r="S21" s="492"/>
      <c r="T21" s="492"/>
      <c r="U21" s="492"/>
      <c r="V21" s="492"/>
      <c r="W21" s="492"/>
      <c r="X21" s="492"/>
      <c r="Y21" s="492"/>
      <c r="Z21" s="492"/>
      <c r="AA21" s="492"/>
      <c r="AB21" s="492"/>
      <c r="AC21" s="492"/>
      <c r="AD21" s="492"/>
      <c r="AE21" s="492"/>
      <c r="AF21" s="492"/>
      <c r="AG21" s="492"/>
      <c r="AH21" s="492"/>
      <c r="AI21" s="492"/>
      <c r="AJ21" s="492"/>
      <c r="AK21" s="492"/>
      <c r="AL21" s="492"/>
      <c r="AM21" s="492"/>
      <c r="AN21" s="492"/>
      <c r="AO21" s="492"/>
      <c r="AP21" s="492"/>
      <c r="AQ21" s="492"/>
      <c r="AR21" s="492"/>
      <c r="AS21" s="492"/>
      <c r="AT21" s="492"/>
      <c r="AU21" s="492"/>
      <c r="AV21" s="492"/>
      <c r="AW21" s="492"/>
      <c r="AX21" s="492"/>
      <c r="AY21" s="492"/>
      <c r="AZ21" s="492"/>
    </row>
    <row r="22" spans="1:52" x14ac:dyDescent="0.2">
      <c r="A22" s="492"/>
      <c r="B22" s="492"/>
      <c r="C22" s="492"/>
      <c r="D22" s="492"/>
      <c r="E22" s="492"/>
      <c r="F22" s="492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2"/>
      <c r="Y22" s="492"/>
      <c r="Z22" s="492"/>
      <c r="AA22" s="492"/>
      <c r="AB22" s="492"/>
      <c r="AC22" s="492"/>
      <c r="AD22" s="492"/>
      <c r="AE22" s="492"/>
      <c r="AF22" s="492"/>
      <c r="AG22" s="492"/>
      <c r="AH22" s="492"/>
      <c r="AI22" s="492"/>
      <c r="AJ22" s="492"/>
      <c r="AK22" s="492"/>
      <c r="AL22" s="492"/>
      <c r="AM22" s="492"/>
      <c r="AN22" s="492"/>
      <c r="AO22" s="492"/>
      <c r="AP22" s="492"/>
      <c r="AQ22" s="492"/>
      <c r="AR22" s="492"/>
      <c r="AS22" s="492"/>
      <c r="AT22" s="492"/>
      <c r="AU22" s="492"/>
      <c r="AV22" s="492"/>
      <c r="AW22" s="492"/>
      <c r="AX22" s="492"/>
      <c r="AY22" s="492"/>
      <c r="AZ22" s="492"/>
    </row>
    <row r="23" spans="1:52" x14ac:dyDescent="0.2">
      <c r="A23" s="492"/>
      <c r="B23" s="492"/>
      <c r="C23" s="492"/>
      <c r="D23" s="492"/>
      <c r="E23" s="492"/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2"/>
      <c r="R23" s="492"/>
      <c r="S23" s="492"/>
      <c r="T23" s="492"/>
      <c r="U23" s="492"/>
      <c r="V23" s="492"/>
      <c r="W23" s="492"/>
      <c r="X23" s="492"/>
      <c r="Y23" s="492"/>
      <c r="Z23" s="492"/>
      <c r="AA23" s="492"/>
      <c r="AB23" s="492"/>
      <c r="AC23" s="492"/>
      <c r="AD23" s="492"/>
      <c r="AE23" s="492"/>
      <c r="AF23" s="492"/>
      <c r="AG23" s="492"/>
      <c r="AH23" s="492"/>
      <c r="AI23" s="492"/>
      <c r="AJ23" s="492"/>
      <c r="AK23" s="492"/>
      <c r="AL23" s="492"/>
      <c r="AM23" s="492"/>
      <c r="AN23" s="492"/>
      <c r="AO23" s="492"/>
      <c r="AP23" s="492"/>
      <c r="AQ23" s="492"/>
      <c r="AR23" s="492"/>
      <c r="AS23" s="492"/>
      <c r="AT23" s="492"/>
      <c r="AU23" s="492"/>
      <c r="AV23" s="492"/>
      <c r="AW23" s="492"/>
      <c r="AX23" s="492"/>
      <c r="AY23" s="492"/>
      <c r="AZ23" s="492"/>
    </row>
    <row r="24" spans="1:52" x14ac:dyDescent="0.2">
      <c r="A24" s="492"/>
      <c r="B24" s="492"/>
      <c r="C24" s="492"/>
      <c r="D24" s="492"/>
      <c r="E24" s="492"/>
      <c r="F24" s="492"/>
      <c r="G24" s="492"/>
      <c r="H24" s="492"/>
      <c r="I24" s="492"/>
      <c r="J24" s="492"/>
      <c r="K24" s="492"/>
      <c r="L24" s="492"/>
      <c r="M24" s="492"/>
      <c r="N24" s="492"/>
      <c r="O24" s="492"/>
      <c r="P24" s="492"/>
      <c r="Q24" s="492"/>
      <c r="R24" s="492"/>
      <c r="S24" s="492"/>
      <c r="T24" s="492"/>
      <c r="U24" s="492"/>
      <c r="V24" s="492"/>
      <c r="W24" s="492"/>
      <c r="X24" s="492"/>
      <c r="Y24" s="492"/>
      <c r="Z24" s="492"/>
      <c r="AA24" s="492"/>
      <c r="AB24" s="492"/>
      <c r="AC24" s="492"/>
      <c r="AD24" s="492"/>
      <c r="AE24" s="492"/>
      <c r="AF24" s="492"/>
      <c r="AG24" s="492"/>
      <c r="AH24" s="492"/>
      <c r="AI24" s="492"/>
      <c r="AJ24" s="492"/>
      <c r="AK24" s="492"/>
      <c r="AL24" s="492"/>
      <c r="AM24" s="492"/>
      <c r="AN24" s="492"/>
      <c r="AO24" s="492"/>
      <c r="AP24" s="492"/>
      <c r="AQ24" s="492"/>
      <c r="AR24" s="492"/>
      <c r="AS24" s="492"/>
      <c r="AT24" s="492"/>
      <c r="AU24" s="492"/>
      <c r="AV24" s="492"/>
      <c r="AW24" s="492"/>
      <c r="AX24" s="492"/>
      <c r="AY24" s="492"/>
      <c r="AZ24" s="492"/>
    </row>
    <row r="25" spans="1:52" x14ac:dyDescent="0.2">
      <c r="A25" s="492"/>
      <c r="B25" s="492"/>
      <c r="C25" s="492"/>
      <c r="D25" s="492"/>
      <c r="E25" s="492"/>
      <c r="F25" s="492"/>
      <c r="G25" s="492"/>
      <c r="H25" s="492"/>
      <c r="I25" s="492"/>
      <c r="J25" s="492"/>
      <c r="K25" s="492"/>
      <c r="L25" s="492"/>
      <c r="M25" s="492"/>
      <c r="N25" s="492"/>
      <c r="O25" s="492"/>
      <c r="P25" s="492"/>
      <c r="Q25" s="492"/>
      <c r="R25" s="492"/>
      <c r="S25" s="492"/>
      <c r="T25" s="492"/>
      <c r="U25" s="492"/>
      <c r="V25" s="492"/>
      <c r="W25" s="492"/>
      <c r="X25" s="492"/>
      <c r="Y25" s="492"/>
      <c r="Z25" s="492"/>
      <c r="AA25" s="492"/>
      <c r="AB25" s="492"/>
      <c r="AC25" s="492"/>
      <c r="AD25" s="492"/>
      <c r="AE25" s="492"/>
      <c r="AF25" s="492"/>
      <c r="AG25" s="492"/>
      <c r="AH25" s="492"/>
      <c r="AI25" s="492"/>
      <c r="AJ25" s="492"/>
      <c r="AK25" s="492"/>
      <c r="AL25" s="492"/>
      <c r="AM25" s="492"/>
      <c r="AN25" s="492"/>
      <c r="AO25" s="492"/>
      <c r="AP25" s="492"/>
      <c r="AQ25" s="492"/>
      <c r="AR25" s="492"/>
      <c r="AS25" s="492"/>
      <c r="AT25" s="492"/>
      <c r="AU25" s="492"/>
      <c r="AV25" s="492"/>
      <c r="AW25" s="492"/>
      <c r="AX25" s="492"/>
      <c r="AY25" s="492"/>
      <c r="AZ25" s="492"/>
    </row>
    <row r="26" spans="1:52" x14ac:dyDescent="0.2">
      <c r="A26" s="492"/>
      <c r="B26" s="492"/>
      <c r="C26" s="492"/>
      <c r="D26" s="492"/>
      <c r="E26" s="492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2"/>
      <c r="R26" s="492"/>
      <c r="S26" s="492"/>
      <c r="T26" s="492"/>
      <c r="U26" s="492"/>
      <c r="V26" s="492"/>
      <c r="W26" s="492"/>
      <c r="X26" s="492"/>
      <c r="Y26" s="492"/>
      <c r="Z26" s="492"/>
      <c r="AA26" s="492"/>
      <c r="AB26" s="492"/>
      <c r="AC26" s="492"/>
      <c r="AD26" s="492"/>
      <c r="AE26" s="492"/>
      <c r="AF26" s="492"/>
      <c r="AG26" s="492"/>
      <c r="AH26" s="492"/>
      <c r="AI26" s="492"/>
      <c r="AJ26" s="492"/>
      <c r="AK26" s="492"/>
      <c r="AL26" s="492"/>
      <c r="AM26" s="492"/>
      <c r="AN26" s="492"/>
      <c r="AO26" s="492"/>
      <c r="AP26" s="492"/>
      <c r="AQ26" s="492"/>
      <c r="AR26" s="492"/>
      <c r="AS26" s="492"/>
      <c r="AT26" s="492"/>
      <c r="AU26" s="492"/>
      <c r="AV26" s="492"/>
      <c r="AW26" s="492"/>
      <c r="AX26" s="492"/>
      <c r="AY26" s="492"/>
      <c r="AZ26" s="492"/>
    </row>
    <row r="27" spans="1:52" x14ac:dyDescent="0.2">
      <c r="A27" s="492"/>
      <c r="B27" s="492"/>
      <c r="C27" s="492"/>
      <c r="D27" s="492"/>
      <c r="E27" s="492"/>
      <c r="F27" s="492"/>
      <c r="G27" s="492"/>
      <c r="H27" s="492"/>
      <c r="I27" s="492"/>
      <c r="J27" s="492"/>
      <c r="K27" s="492"/>
      <c r="L27" s="492"/>
      <c r="M27" s="492"/>
      <c r="N27" s="492"/>
      <c r="O27" s="492"/>
      <c r="P27" s="492"/>
      <c r="Q27" s="492"/>
      <c r="R27" s="492"/>
      <c r="S27" s="492"/>
      <c r="T27" s="492"/>
      <c r="U27" s="492"/>
      <c r="V27" s="492"/>
      <c r="W27" s="492"/>
      <c r="X27" s="492"/>
      <c r="Y27" s="492"/>
      <c r="Z27" s="492"/>
      <c r="AA27" s="492"/>
      <c r="AB27" s="492"/>
      <c r="AC27" s="492"/>
      <c r="AD27" s="492"/>
      <c r="AE27" s="492"/>
      <c r="AF27" s="492"/>
      <c r="AG27" s="492"/>
      <c r="AH27" s="492"/>
      <c r="AI27" s="492"/>
      <c r="AJ27" s="492"/>
      <c r="AK27" s="492"/>
      <c r="AL27" s="492"/>
      <c r="AM27" s="492"/>
      <c r="AN27" s="492"/>
      <c r="AO27" s="492"/>
      <c r="AP27" s="492"/>
      <c r="AQ27" s="492"/>
      <c r="AR27" s="492"/>
      <c r="AS27" s="492"/>
      <c r="AT27" s="492"/>
      <c r="AU27" s="492"/>
      <c r="AV27" s="492"/>
      <c r="AW27" s="492"/>
      <c r="AX27" s="492"/>
      <c r="AY27" s="492"/>
      <c r="AZ27" s="492"/>
    </row>
    <row r="28" spans="1:52" x14ac:dyDescent="0.2">
      <c r="A28" s="492"/>
      <c r="B28" s="492"/>
      <c r="C28" s="492"/>
      <c r="D28" s="492"/>
      <c r="E28" s="492"/>
      <c r="F28" s="492"/>
      <c r="G28" s="492"/>
      <c r="H28" s="492"/>
      <c r="I28" s="492"/>
      <c r="J28" s="492"/>
      <c r="K28" s="492"/>
      <c r="L28" s="492"/>
      <c r="M28" s="492"/>
      <c r="N28" s="492"/>
      <c r="O28" s="492"/>
      <c r="P28" s="492"/>
      <c r="Q28" s="492"/>
      <c r="R28" s="492"/>
      <c r="S28" s="492"/>
      <c r="T28" s="492"/>
      <c r="U28" s="492"/>
      <c r="V28" s="492"/>
      <c r="W28" s="492"/>
      <c r="X28" s="492"/>
      <c r="Y28" s="492"/>
      <c r="Z28" s="492"/>
      <c r="AA28" s="492"/>
      <c r="AB28" s="492"/>
      <c r="AC28" s="492"/>
      <c r="AD28" s="492"/>
      <c r="AE28" s="492"/>
      <c r="AF28" s="492"/>
      <c r="AG28" s="492"/>
      <c r="AH28" s="492"/>
      <c r="AI28" s="492"/>
      <c r="AJ28" s="492"/>
      <c r="AK28" s="492"/>
      <c r="AL28" s="492"/>
      <c r="AM28" s="492"/>
      <c r="AN28" s="492"/>
      <c r="AO28" s="492"/>
      <c r="AP28" s="492"/>
      <c r="AQ28" s="492"/>
      <c r="AR28" s="492"/>
      <c r="AS28" s="492"/>
      <c r="AT28" s="492"/>
      <c r="AU28" s="492"/>
      <c r="AV28" s="492"/>
      <c r="AW28" s="492"/>
      <c r="AX28" s="492"/>
      <c r="AY28" s="492"/>
      <c r="AZ28" s="492"/>
    </row>
    <row r="29" spans="1:52" x14ac:dyDescent="0.2">
      <c r="A29" s="492"/>
      <c r="B29" s="492"/>
      <c r="C29" s="492"/>
      <c r="D29" s="492"/>
      <c r="E29" s="492"/>
      <c r="F29" s="492"/>
      <c r="G29" s="492"/>
      <c r="H29" s="492"/>
      <c r="I29" s="492"/>
      <c r="J29" s="492"/>
      <c r="K29" s="492"/>
      <c r="L29" s="492"/>
      <c r="M29" s="492"/>
      <c r="N29" s="492"/>
      <c r="O29" s="492"/>
      <c r="P29" s="492"/>
      <c r="Q29" s="492"/>
      <c r="R29" s="492"/>
      <c r="S29" s="492"/>
      <c r="T29" s="492"/>
      <c r="U29" s="492"/>
      <c r="V29" s="492"/>
      <c r="W29" s="492"/>
      <c r="X29" s="492"/>
      <c r="Y29" s="492"/>
      <c r="Z29" s="492"/>
      <c r="AA29" s="492"/>
      <c r="AB29" s="492"/>
      <c r="AC29" s="492"/>
      <c r="AD29" s="492"/>
      <c r="AE29" s="492"/>
      <c r="AF29" s="492"/>
      <c r="AG29" s="492"/>
      <c r="AH29" s="492"/>
      <c r="AI29" s="492"/>
      <c r="AJ29" s="492"/>
      <c r="AK29" s="492"/>
      <c r="AL29" s="492"/>
      <c r="AM29" s="492"/>
      <c r="AN29" s="492"/>
      <c r="AO29" s="492"/>
      <c r="AP29" s="492"/>
      <c r="AQ29" s="492"/>
      <c r="AR29" s="492"/>
      <c r="AS29" s="492"/>
      <c r="AT29" s="492"/>
      <c r="AU29" s="492"/>
      <c r="AV29" s="492"/>
      <c r="AW29" s="492"/>
      <c r="AX29" s="492"/>
      <c r="AY29" s="492"/>
      <c r="AZ29" s="492"/>
    </row>
    <row r="30" spans="1:52" x14ac:dyDescent="0.2">
      <c r="A30" s="492"/>
      <c r="B30" s="492"/>
      <c r="C30" s="492"/>
      <c r="D30" s="492"/>
      <c r="E30" s="492"/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2"/>
      <c r="R30" s="492"/>
      <c r="S30" s="492"/>
      <c r="T30" s="492"/>
      <c r="U30" s="492"/>
      <c r="V30" s="492"/>
      <c r="W30" s="492"/>
      <c r="X30" s="492"/>
      <c r="Y30" s="492"/>
      <c r="Z30" s="492"/>
      <c r="AA30" s="492"/>
      <c r="AB30" s="492"/>
      <c r="AC30" s="492"/>
      <c r="AD30" s="492"/>
      <c r="AE30" s="492"/>
      <c r="AF30" s="492"/>
      <c r="AG30" s="492"/>
      <c r="AH30" s="492"/>
      <c r="AI30" s="492"/>
      <c r="AJ30" s="492"/>
      <c r="AK30" s="492"/>
      <c r="AL30" s="492"/>
      <c r="AM30" s="492"/>
      <c r="AN30" s="492"/>
      <c r="AO30" s="492"/>
      <c r="AP30" s="492"/>
      <c r="AQ30" s="492"/>
      <c r="AR30" s="492"/>
      <c r="AS30" s="492"/>
      <c r="AT30" s="492"/>
      <c r="AU30" s="492"/>
      <c r="AV30" s="492"/>
      <c r="AW30" s="492"/>
      <c r="AX30" s="492"/>
      <c r="AY30" s="492"/>
      <c r="AZ30" s="492"/>
    </row>
    <row r="31" spans="1:52" x14ac:dyDescent="0.2">
      <c r="A31" s="492"/>
      <c r="B31" s="492"/>
      <c r="C31" s="492"/>
      <c r="D31" s="492"/>
      <c r="E31" s="492"/>
      <c r="F31" s="492"/>
      <c r="G31" s="492"/>
      <c r="H31" s="492"/>
      <c r="I31" s="492"/>
      <c r="J31" s="492"/>
      <c r="K31" s="492"/>
      <c r="L31" s="492"/>
      <c r="M31" s="492"/>
      <c r="N31" s="492"/>
      <c r="O31" s="492"/>
      <c r="P31" s="492"/>
      <c r="Q31" s="492"/>
      <c r="R31" s="492"/>
      <c r="S31" s="492"/>
      <c r="T31" s="492"/>
      <c r="U31" s="492"/>
      <c r="V31" s="492"/>
      <c r="W31" s="492"/>
      <c r="X31" s="492"/>
      <c r="Y31" s="492"/>
      <c r="Z31" s="492"/>
      <c r="AA31" s="492"/>
      <c r="AB31" s="492"/>
      <c r="AC31" s="492"/>
      <c r="AD31" s="492"/>
      <c r="AE31" s="492"/>
      <c r="AF31" s="492"/>
      <c r="AG31" s="492"/>
      <c r="AH31" s="492"/>
      <c r="AI31" s="492"/>
      <c r="AJ31" s="492"/>
      <c r="AK31" s="492"/>
      <c r="AL31" s="492"/>
      <c r="AM31" s="492"/>
      <c r="AN31" s="492"/>
      <c r="AO31" s="492"/>
      <c r="AP31" s="492"/>
      <c r="AQ31" s="492"/>
      <c r="AR31" s="492"/>
      <c r="AS31" s="492"/>
      <c r="AT31" s="492"/>
      <c r="AU31" s="492"/>
      <c r="AV31" s="492"/>
      <c r="AW31" s="492"/>
      <c r="AX31" s="492"/>
      <c r="AY31" s="492"/>
      <c r="AZ31" s="492"/>
    </row>
    <row r="32" spans="1:52" x14ac:dyDescent="0.2">
      <c r="A32" s="492"/>
      <c r="B32" s="492"/>
      <c r="C32" s="492"/>
      <c r="D32" s="492"/>
      <c r="E32" s="492"/>
      <c r="F32" s="492"/>
      <c r="G32" s="492"/>
      <c r="H32" s="492"/>
      <c r="I32" s="492"/>
      <c r="J32" s="492"/>
      <c r="K32" s="492"/>
      <c r="L32" s="492"/>
      <c r="M32" s="492"/>
      <c r="N32" s="492"/>
      <c r="O32" s="492"/>
      <c r="P32" s="492"/>
      <c r="Q32" s="492"/>
      <c r="R32" s="492"/>
      <c r="S32" s="492"/>
      <c r="T32" s="492"/>
      <c r="U32" s="492"/>
      <c r="V32" s="492"/>
      <c r="W32" s="492"/>
      <c r="X32" s="492"/>
      <c r="Y32" s="492"/>
      <c r="Z32" s="492"/>
      <c r="AA32" s="492"/>
      <c r="AB32" s="492"/>
      <c r="AC32" s="492"/>
      <c r="AD32" s="492"/>
      <c r="AE32" s="492"/>
      <c r="AF32" s="492"/>
      <c r="AG32" s="492"/>
      <c r="AH32" s="492"/>
      <c r="AI32" s="492"/>
      <c r="AJ32" s="492"/>
      <c r="AK32" s="492"/>
      <c r="AL32" s="492"/>
      <c r="AM32" s="492"/>
      <c r="AN32" s="492"/>
      <c r="AO32" s="492"/>
      <c r="AP32" s="492"/>
      <c r="AQ32" s="492"/>
      <c r="AR32" s="492"/>
      <c r="AS32" s="492"/>
      <c r="AT32" s="492"/>
      <c r="AU32" s="492"/>
      <c r="AV32" s="492"/>
      <c r="AW32" s="492"/>
      <c r="AX32" s="492"/>
      <c r="AY32" s="492"/>
      <c r="AZ32" s="492"/>
    </row>
    <row r="33" spans="1:52" x14ac:dyDescent="0.2">
      <c r="A33" s="492"/>
      <c r="B33" s="492"/>
      <c r="C33" s="492"/>
      <c r="D33" s="492"/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2"/>
      <c r="R33" s="492"/>
      <c r="S33" s="492"/>
      <c r="T33" s="492"/>
      <c r="U33" s="492"/>
      <c r="V33" s="492"/>
      <c r="W33" s="492"/>
      <c r="X33" s="492"/>
      <c r="Y33" s="492"/>
      <c r="Z33" s="492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492"/>
      <c r="AW33" s="492"/>
      <c r="AX33" s="492"/>
      <c r="AY33" s="492"/>
      <c r="AZ33" s="492"/>
    </row>
    <row r="34" spans="1:52" x14ac:dyDescent="0.2">
      <c r="A34" s="492"/>
      <c r="B34" s="492"/>
      <c r="C34" s="492"/>
      <c r="D34" s="492"/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2"/>
      <c r="R34" s="492"/>
      <c r="S34" s="492"/>
      <c r="T34" s="492"/>
      <c r="U34" s="492"/>
      <c r="V34" s="492"/>
      <c r="W34" s="492"/>
      <c r="X34" s="492"/>
      <c r="Y34" s="492"/>
      <c r="Z34" s="492"/>
      <c r="AA34" s="492"/>
      <c r="AB34" s="492"/>
      <c r="AC34" s="492"/>
      <c r="AD34" s="492"/>
      <c r="AE34" s="492"/>
      <c r="AF34" s="492"/>
      <c r="AG34" s="492"/>
      <c r="AH34" s="492"/>
      <c r="AI34" s="492"/>
      <c r="AJ34" s="492"/>
      <c r="AK34" s="492"/>
      <c r="AL34" s="492"/>
      <c r="AM34" s="492"/>
      <c r="AN34" s="492"/>
      <c r="AO34" s="492"/>
      <c r="AP34" s="492"/>
      <c r="AQ34" s="492"/>
      <c r="AR34" s="492"/>
      <c r="AS34" s="492"/>
      <c r="AT34" s="492"/>
      <c r="AU34" s="492"/>
      <c r="AV34" s="492"/>
      <c r="AW34" s="492"/>
      <c r="AX34" s="492"/>
      <c r="AY34" s="492"/>
      <c r="AZ34" s="492"/>
    </row>
    <row r="35" spans="1:52" x14ac:dyDescent="0.2">
      <c r="A35" s="492"/>
      <c r="B35" s="492"/>
      <c r="C35" s="492"/>
      <c r="D35" s="492"/>
      <c r="E35" s="492"/>
      <c r="F35" s="492"/>
      <c r="G35" s="492"/>
      <c r="H35" s="492"/>
      <c r="I35" s="492"/>
      <c r="J35" s="492"/>
      <c r="K35" s="492"/>
      <c r="L35" s="492"/>
      <c r="M35" s="492"/>
      <c r="N35" s="492"/>
      <c r="O35" s="492"/>
      <c r="P35" s="492"/>
      <c r="Q35" s="492"/>
      <c r="R35" s="492"/>
      <c r="S35" s="492"/>
      <c r="T35" s="492"/>
      <c r="U35" s="492"/>
      <c r="V35" s="492"/>
      <c r="W35" s="492"/>
      <c r="X35" s="492"/>
      <c r="Y35" s="492"/>
      <c r="Z35" s="492"/>
      <c r="AA35" s="492"/>
      <c r="AB35" s="492"/>
      <c r="AC35" s="492"/>
      <c r="AD35" s="492"/>
      <c r="AE35" s="492"/>
      <c r="AF35" s="492"/>
      <c r="AG35" s="492"/>
      <c r="AH35" s="492"/>
      <c r="AI35" s="492"/>
      <c r="AJ35" s="492"/>
      <c r="AK35" s="492"/>
      <c r="AL35" s="492"/>
      <c r="AM35" s="492"/>
      <c r="AN35" s="492"/>
      <c r="AO35" s="492"/>
      <c r="AP35" s="492"/>
      <c r="AQ35" s="492"/>
      <c r="AR35" s="492"/>
      <c r="AS35" s="492"/>
      <c r="AT35" s="492"/>
      <c r="AU35" s="492"/>
      <c r="AV35" s="492"/>
      <c r="AW35" s="492"/>
      <c r="AX35" s="492"/>
      <c r="AY35" s="492"/>
      <c r="AZ35" s="492"/>
    </row>
    <row r="36" spans="1:52" x14ac:dyDescent="0.2">
      <c r="A36" s="492"/>
      <c r="B36" s="492"/>
      <c r="C36" s="492"/>
      <c r="D36" s="492"/>
      <c r="E36" s="492"/>
      <c r="F36" s="492"/>
      <c r="G36" s="492"/>
      <c r="H36" s="492"/>
      <c r="I36" s="492"/>
      <c r="J36" s="492"/>
      <c r="K36" s="492"/>
      <c r="L36" s="492"/>
      <c r="M36" s="492"/>
      <c r="N36" s="492"/>
      <c r="O36" s="492"/>
      <c r="P36" s="492"/>
      <c r="Q36" s="492"/>
      <c r="R36" s="492"/>
      <c r="S36" s="492"/>
      <c r="T36" s="492"/>
      <c r="U36" s="492"/>
      <c r="V36" s="492"/>
      <c r="W36" s="492"/>
      <c r="X36" s="492"/>
      <c r="Y36" s="492"/>
      <c r="Z36" s="492"/>
      <c r="AA36" s="492"/>
      <c r="AB36" s="492"/>
      <c r="AC36" s="492"/>
      <c r="AD36" s="492"/>
      <c r="AE36" s="492"/>
      <c r="AF36" s="492"/>
      <c r="AG36" s="492"/>
      <c r="AH36" s="492"/>
      <c r="AI36" s="492"/>
      <c r="AJ36" s="492"/>
      <c r="AK36" s="492"/>
      <c r="AL36" s="492"/>
      <c r="AM36" s="492"/>
      <c r="AN36" s="492"/>
      <c r="AO36" s="492"/>
      <c r="AP36" s="492"/>
      <c r="AQ36" s="492"/>
      <c r="AR36" s="492"/>
      <c r="AS36" s="492"/>
      <c r="AT36" s="492"/>
      <c r="AU36" s="492"/>
      <c r="AV36" s="492"/>
      <c r="AW36" s="492"/>
      <c r="AX36" s="492"/>
      <c r="AY36" s="492"/>
      <c r="AZ36" s="492"/>
    </row>
    <row r="37" spans="1:52" x14ac:dyDescent="0.2">
      <c r="A37" s="492"/>
      <c r="B37" s="492"/>
      <c r="C37" s="492"/>
      <c r="D37" s="492"/>
      <c r="E37" s="492"/>
      <c r="F37" s="492"/>
      <c r="G37" s="492"/>
      <c r="H37" s="492"/>
      <c r="I37" s="492"/>
      <c r="J37" s="492"/>
      <c r="K37" s="492"/>
      <c r="L37" s="492"/>
      <c r="M37" s="492"/>
      <c r="N37" s="492"/>
      <c r="O37" s="492"/>
      <c r="P37" s="492"/>
      <c r="Q37" s="492"/>
      <c r="R37" s="492"/>
      <c r="S37" s="492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  <c r="AD37" s="492"/>
      <c r="AE37" s="492"/>
      <c r="AF37" s="492"/>
      <c r="AG37" s="492"/>
      <c r="AH37" s="492"/>
      <c r="AI37" s="492"/>
      <c r="AJ37" s="492"/>
      <c r="AK37" s="492"/>
      <c r="AL37" s="492"/>
      <c r="AM37" s="492"/>
      <c r="AN37" s="492"/>
      <c r="AO37" s="492"/>
      <c r="AP37" s="492"/>
      <c r="AQ37" s="492"/>
      <c r="AR37" s="492"/>
      <c r="AS37" s="492"/>
      <c r="AT37" s="492"/>
      <c r="AU37" s="492"/>
      <c r="AV37" s="492"/>
      <c r="AW37" s="492"/>
      <c r="AX37" s="492"/>
      <c r="AY37" s="492"/>
      <c r="AZ37" s="492"/>
    </row>
    <row r="38" spans="1:52" x14ac:dyDescent="0.2">
      <c r="A38" s="492"/>
      <c r="B38" s="492"/>
      <c r="C38" s="492"/>
      <c r="D38" s="492"/>
      <c r="E38" s="492"/>
      <c r="F38" s="492"/>
      <c r="G38" s="492"/>
      <c r="H38" s="492"/>
      <c r="I38" s="492"/>
      <c r="J38" s="492"/>
      <c r="K38" s="492"/>
      <c r="L38" s="492"/>
      <c r="M38" s="492"/>
      <c r="N38" s="492"/>
      <c r="O38" s="492"/>
      <c r="P38" s="492"/>
      <c r="Q38" s="492"/>
      <c r="R38" s="492"/>
      <c r="S38" s="492"/>
      <c r="T38" s="492"/>
      <c r="U38" s="492"/>
      <c r="V38" s="492"/>
      <c r="W38" s="492"/>
      <c r="X38" s="492"/>
      <c r="Y38" s="492"/>
      <c r="Z38" s="492"/>
      <c r="AA38" s="492"/>
      <c r="AB38" s="492"/>
      <c r="AC38" s="492"/>
      <c r="AD38" s="492"/>
      <c r="AE38" s="492"/>
      <c r="AF38" s="492"/>
      <c r="AG38" s="492"/>
      <c r="AH38" s="492"/>
      <c r="AI38" s="492"/>
      <c r="AJ38" s="492"/>
      <c r="AK38" s="492"/>
      <c r="AL38" s="492"/>
      <c r="AM38" s="492"/>
      <c r="AN38" s="492"/>
      <c r="AO38" s="492"/>
      <c r="AP38" s="492"/>
      <c r="AQ38" s="492"/>
      <c r="AR38" s="492"/>
      <c r="AS38" s="492"/>
      <c r="AT38" s="492"/>
      <c r="AU38" s="492"/>
      <c r="AV38" s="492"/>
      <c r="AW38" s="492"/>
      <c r="AX38" s="492"/>
      <c r="AY38" s="492"/>
      <c r="AZ38" s="492"/>
    </row>
    <row r="39" spans="1:52" x14ac:dyDescent="0.2">
      <c r="A39" s="492"/>
      <c r="B39" s="492"/>
      <c r="C39" s="492"/>
      <c r="D39" s="492"/>
      <c r="E39" s="492"/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2"/>
      <c r="R39" s="492"/>
      <c r="S39" s="492"/>
      <c r="T39" s="492"/>
      <c r="U39" s="492"/>
      <c r="V39" s="492"/>
      <c r="W39" s="492"/>
      <c r="X39" s="492"/>
      <c r="Y39" s="492"/>
      <c r="Z39" s="492"/>
      <c r="AA39" s="492"/>
      <c r="AB39" s="492"/>
      <c r="AC39" s="492"/>
      <c r="AD39" s="492"/>
      <c r="AE39" s="492"/>
      <c r="AF39" s="492"/>
      <c r="AG39" s="492"/>
      <c r="AH39" s="492"/>
      <c r="AI39" s="492"/>
      <c r="AJ39" s="492"/>
      <c r="AK39" s="492"/>
      <c r="AL39" s="492"/>
      <c r="AM39" s="492"/>
      <c r="AN39" s="492"/>
      <c r="AO39" s="492"/>
      <c r="AP39" s="492"/>
      <c r="AQ39" s="492"/>
      <c r="AR39" s="492"/>
      <c r="AS39" s="492"/>
      <c r="AT39" s="492"/>
      <c r="AU39" s="492"/>
      <c r="AV39" s="492"/>
      <c r="AW39" s="492"/>
      <c r="AX39" s="492"/>
      <c r="AY39" s="492"/>
      <c r="AZ39" s="492"/>
    </row>
    <row r="40" spans="1:52" x14ac:dyDescent="0.2">
      <c r="A40" s="492"/>
      <c r="B40" s="492"/>
      <c r="C40" s="492"/>
      <c r="D40" s="492"/>
      <c r="E40" s="492"/>
      <c r="F40" s="492"/>
      <c r="G40" s="492"/>
      <c r="H40" s="492"/>
      <c r="I40" s="492"/>
      <c r="J40" s="492"/>
      <c r="K40" s="492"/>
      <c r="L40" s="492"/>
      <c r="M40" s="492"/>
      <c r="N40" s="492"/>
      <c r="O40" s="492"/>
      <c r="P40" s="492"/>
      <c r="Q40" s="492"/>
      <c r="R40" s="492"/>
      <c r="S40" s="492"/>
      <c r="T40" s="492"/>
      <c r="U40" s="492"/>
      <c r="V40" s="492"/>
      <c r="W40" s="492"/>
      <c r="X40" s="492"/>
      <c r="Y40" s="492"/>
      <c r="Z40" s="492"/>
      <c r="AA40" s="492"/>
      <c r="AB40" s="492"/>
      <c r="AC40" s="492"/>
      <c r="AD40" s="492"/>
      <c r="AE40" s="492"/>
      <c r="AF40" s="492"/>
      <c r="AG40" s="492"/>
      <c r="AH40" s="492"/>
      <c r="AI40" s="492"/>
      <c r="AJ40" s="492"/>
      <c r="AK40" s="492"/>
      <c r="AL40" s="492"/>
      <c r="AM40" s="492"/>
      <c r="AN40" s="492"/>
      <c r="AO40" s="492"/>
      <c r="AP40" s="492"/>
      <c r="AQ40" s="492"/>
      <c r="AR40" s="492"/>
      <c r="AS40" s="492"/>
      <c r="AT40" s="492"/>
      <c r="AU40" s="492"/>
      <c r="AV40" s="492"/>
      <c r="AW40" s="492"/>
      <c r="AX40" s="492"/>
      <c r="AY40" s="492"/>
      <c r="AZ40" s="492"/>
    </row>
    <row r="41" spans="1:52" x14ac:dyDescent="0.2">
      <c r="A41" s="492"/>
      <c r="B41" s="492"/>
      <c r="C41" s="492"/>
      <c r="D41" s="492"/>
      <c r="E41" s="492"/>
      <c r="F41" s="492"/>
      <c r="G41" s="492"/>
      <c r="H41" s="492"/>
      <c r="I41" s="492"/>
      <c r="J41" s="492"/>
      <c r="K41" s="492"/>
      <c r="L41" s="492"/>
      <c r="M41" s="492"/>
      <c r="N41" s="492"/>
      <c r="O41" s="492"/>
      <c r="P41" s="492"/>
      <c r="Q41" s="492"/>
      <c r="R41" s="492"/>
      <c r="S41" s="492"/>
      <c r="T41" s="492"/>
      <c r="U41" s="492"/>
      <c r="V41" s="492"/>
      <c r="W41" s="492"/>
      <c r="X41" s="492"/>
      <c r="Y41" s="492"/>
      <c r="Z41" s="492"/>
      <c r="AA41" s="492"/>
      <c r="AB41" s="492"/>
      <c r="AC41" s="492"/>
      <c r="AD41" s="492"/>
      <c r="AE41" s="492"/>
      <c r="AF41" s="492"/>
      <c r="AG41" s="492"/>
      <c r="AH41" s="492"/>
      <c r="AI41" s="492"/>
      <c r="AJ41" s="492"/>
      <c r="AK41" s="492"/>
      <c r="AL41" s="492"/>
      <c r="AM41" s="492"/>
      <c r="AN41" s="492"/>
      <c r="AO41" s="492"/>
      <c r="AP41" s="492"/>
      <c r="AQ41" s="492"/>
      <c r="AR41" s="492"/>
      <c r="AS41" s="492"/>
      <c r="AT41" s="492"/>
      <c r="AU41" s="492"/>
      <c r="AV41" s="492"/>
      <c r="AW41" s="492"/>
      <c r="AX41" s="492"/>
      <c r="AY41" s="492"/>
      <c r="AZ41" s="492"/>
    </row>
    <row r="42" spans="1:52" x14ac:dyDescent="0.2">
      <c r="A42" s="492"/>
      <c r="B42" s="492"/>
      <c r="C42" s="492"/>
      <c r="D42" s="492"/>
      <c r="E42" s="492"/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2"/>
      <c r="R42" s="492"/>
      <c r="S42" s="492"/>
      <c r="T42" s="492"/>
      <c r="U42" s="492"/>
      <c r="V42" s="492"/>
      <c r="W42" s="492"/>
      <c r="X42" s="492"/>
      <c r="Y42" s="492"/>
      <c r="Z42" s="492"/>
      <c r="AA42" s="492"/>
      <c r="AB42" s="492"/>
      <c r="AC42" s="492"/>
      <c r="AD42" s="492"/>
      <c r="AE42" s="492"/>
      <c r="AF42" s="492"/>
      <c r="AG42" s="492"/>
      <c r="AH42" s="492"/>
      <c r="AI42" s="492"/>
      <c r="AJ42" s="492"/>
      <c r="AK42" s="492"/>
      <c r="AL42" s="492"/>
      <c r="AM42" s="492"/>
      <c r="AN42" s="492"/>
      <c r="AO42" s="492"/>
      <c r="AP42" s="492"/>
      <c r="AQ42" s="492"/>
      <c r="AR42" s="492"/>
      <c r="AS42" s="492"/>
      <c r="AT42" s="492"/>
      <c r="AU42" s="492"/>
      <c r="AV42" s="492"/>
      <c r="AW42" s="492"/>
      <c r="AX42" s="492"/>
      <c r="AY42" s="492"/>
      <c r="AZ42" s="492"/>
    </row>
    <row r="43" spans="1:52" x14ac:dyDescent="0.2">
      <c r="A43" s="492"/>
      <c r="B43" s="492"/>
      <c r="C43" s="492"/>
      <c r="D43" s="492"/>
      <c r="E43" s="492"/>
      <c r="F43" s="492"/>
      <c r="G43" s="492"/>
      <c r="H43" s="492"/>
      <c r="I43" s="492"/>
      <c r="J43" s="492"/>
      <c r="K43" s="492"/>
      <c r="L43" s="492"/>
      <c r="M43" s="492"/>
      <c r="N43" s="492"/>
      <c r="O43" s="492"/>
      <c r="P43" s="492"/>
      <c r="Q43" s="492"/>
      <c r="R43" s="492"/>
      <c r="S43" s="492"/>
      <c r="T43" s="492"/>
      <c r="U43" s="492"/>
      <c r="V43" s="492"/>
      <c r="W43" s="492"/>
      <c r="X43" s="492"/>
      <c r="Y43" s="492"/>
      <c r="Z43" s="492"/>
      <c r="AA43" s="492"/>
      <c r="AB43" s="492"/>
      <c r="AC43" s="492"/>
      <c r="AD43" s="492"/>
      <c r="AE43" s="492"/>
      <c r="AF43" s="492"/>
      <c r="AG43" s="492"/>
      <c r="AH43" s="492"/>
      <c r="AI43" s="492"/>
      <c r="AJ43" s="492"/>
      <c r="AK43" s="492"/>
      <c r="AL43" s="492"/>
      <c r="AM43" s="492"/>
      <c r="AN43" s="492"/>
      <c r="AO43" s="492"/>
      <c r="AP43" s="492"/>
      <c r="AQ43" s="492"/>
      <c r="AR43" s="492"/>
      <c r="AS43" s="492"/>
      <c r="AT43" s="492"/>
      <c r="AU43" s="492"/>
      <c r="AV43" s="492"/>
      <c r="AW43" s="492"/>
      <c r="AX43" s="492"/>
      <c r="AY43" s="492"/>
      <c r="AZ43" s="492"/>
    </row>
    <row r="44" spans="1:52" x14ac:dyDescent="0.2">
      <c r="A44" s="492"/>
      <c r="B44" s="492"/>
      <c r="C44" s="492"/>
      <c r="D44" s="492"/>
      <c r="E44" s="492"/>
      <c r="F44" s="492"/>
      <c r="G44" s="492"/>
      <c r="H44" s="492"/>
      <c r="I44" s="492"/>
      <c r="J44" s="492"/>
      <c r="K44" s="492"/>
      <c r="L44" s="492"/>
      <c r="M44" s="492"/>
      <c r="N44" s="492"/>
      <c r="O44" s="492"/>
      <c r="P44" s="492"/>
      <c r="Q44" s="492"/>
      <c r="R44" s="492"/>
      <c r="S44" s="492"/>
      <c r="T44" s="492"/>
      <c r="U44" s="492"/>
      <c r="V44" s="492"/>
      <c r="W44" s="492"/>
      <c r="X44" s="492"/>
      <c r="Y44" s="492"/>
      <c r="Z44" s="492"/>
      <c r="AA44" s="492"/>
      <c r="AB44" s="492"/>
      <c r="AC44" s="492"/>
      <c r="AD44" s="492"/>
      <c r="AE44" s="492"/>
      <c r="AF44" s="492"/>
      <c r="AG44" s="492"/>
      <c r="AH44" s="492"/>
      <c r="AI44" s="492"/>
      <c r="AJ44" s="492"/>
      <c r="AK44" s="492"/>
      <c r="AL44" s="492"/>
      <c r="AM44" s="492"/>
      <c r="AN44" s="492"/>
      <c r="AO44" s="492"/>
      <c r="AP44" s="492"/>
      <c r="AQ44" s="492"/>
      <c r="AR44" s="492"/>
      <c r="AS44" s="492"/>
      <c r="AT44" s="492"/>
      <c r="AU44" s="492"/>
      <c r="AV44" s="492"/>
      <c r="AW44" s="492"/>
      <c r="AX44" s="492"/>
      <c r="AY44" s="492"/>
      <c r="AZ44" s="492"/>
    </row>
    <row r="45" spans="1:52" x14ac:dyDescent="0.2">
      <c r="A45" s="492"/>
      <c r="B45" s="492"/>
      <c r="C45" s="492"/>
      <c r="D45" s="492"/>
      <c r="E45" s="492"/>
      <c r="F45" s="492"/>
      <c r="G45" s="492"/>
      <c r="H45" s="492"/>
      <c r="I45" s="492"/>
      <c r="J45" s="492"/>
      <c r="K45" s="492"/>
      <c r="L45" s="492"/>
      <c r="M45" s="492"/>
      <c r="N45" s="492"/>
      <c r="O45" s="492"/>
      <c r="P45" s="492"/>
      <c r="Q45" s="492"/>
      <c r="R45" s="492"/>
      <c r="S45" s="492"/>
      <c r="T45" s="492"/>
      <c r="U45" s="492"/>
      <c r="V45" s="492"/>
      <c r="W45" s="492"/>
      <c r="X45" s="492"/>
      <c r="Y45" s="492"/>
      <c r="Z45" s="492"/>
      <c r="AA45" s="492"/>
      <c r="AB45" s="492"/>
      <c r="AC45" s="492"/>
      <c r="AD45" s="492"/>
      <c r="AE45" s="492"/>
      <c r="AF45" s="492"/>
      <c r="AG45" s="492"/>
      <c r="AH45" s="492"/>
      <c r="AI45" s="492"/>
      <c r="AJ45" s="492"/>
      <c r="AK45" s="492"/>
      <c r="AL45" s="492"/>
      <c r="AM45" s="492"/>
      <c r="AN45" s="492"/>
      <c r="AO45" s="492"/>
      <c r="AP45" s="492"/>
      <c r="AQ45" s="492"/>
      <c r="AR45" s="492"/>
      <c r="AS45" s="492"/>
      <c r="AT45" s="492"/>
      <c r="AU45" s="492"/>
      <c r="AV45" s="492"/>
      <c r="AW45" s="492"/>
      <c r="AX45" s="492"/>
      <c r="AY45" s="492"/>
      <c r="AZ45" s="492"/>
    </row>
    <row r="46" spans="1:52" x14ac:dyDescent="0.2">
      <c r="A46" s="492"/>
      <c r="B46" s="492"/>
      <c r="C46" s="492"/>
      <c r="D46" s="492"/>
      <c r="E46" s="492"/>
      <c r="F46" s="492"/>
      <c r="G46" s="492"/>
      <c r="H46" s="492"/>
      <c r="I46" s="492"/>
      <c r="J46" s="492"/>
      <c r="K46" s="492"/>
      <c r="L46" s="492"/>
      <c r="M46" s="492"/>
      <c r="N46" s="492"/>
      <c r="O46" s="492"/>
      <c r="P46" s="492"/>
      <c r="Q46" s="492"/>
      <c r="R46" s="492"/>
      <c r="S46" s="492"/>
      <c r="T46" s="492"/>
      <c r="U46" s="492"/>
      <c r="V46" s="492"/>
      <c r="W46" s="492"/>
      <c r="X46" s="492"/>
      <c r="Y46" s="492"/>
      <c r="Z46" s="492"/>
      <c r="AA46" s="492"/>
      <c r="AB46" s="492"/>
      <c r="AC46" s="492"/>
      <c r="AD46" s="492"/>
      <c r="AE46" s="492"/>
      <c r="AF46" s="492"/>
      <c r="AG46" s="492"/>
      <c r="AH46" s="492"/>
      <c r="AI46" s="492"/>
      <c r="AJ46" s="492"/>
      <c r="AK46" s="492"/>
      <c r="AL46" s="492"/>
      <c r="AM46" s="492"/>
      <c r="AN46" s="492"/>
      <c r="AO46" s="492"/>
      <c r="AP46" s="492"/>
      <c r="AQ46" s="492"/>
      <c r="AR46" s="492"/>
      <c r="AS46" s="492"/>
      <c r="AT46" s="492"/>
      <c r="AU46" s="492"/>
      <c r="AV46" s="492"/>
      <c r="AW46" s="492"/>
      <c r="AX46" s="492"/>
      <c r="AY46" s="492"/>
      <c r="AZ46" s="492"/>
    </row>
    <row r="47" spans="1:52" x14ac:dyDescent="0.2">
      <c r="A47" s="492"/>
      <c r="B47" s="492"/>
      <c r="C47" s="492"/>
      <c r="D47" s="492"/>
      <c r="E47" s="492"/>
      <c r="F47" s="492"/>
      <c r="G47" s="492"/>
      <c r="H47" s="492"/>
      <c r="I47" s="492"/>
      <c r="J47" s="492"/>
      <c r="K47" s="492"/>
      <c r="L47" s="492"/>
      <c r="M47" s="492"/>
      <c r="N47" s="492"/>
      <c r="O47" s="492"/>
      <c r="P47" s="492"/>
      <c r="Q47" s="492"/>
      <c r="R47" s="492"/>
      <c r="S47" s="492"/>
      <c r="T47" s="492"/>
      <c r="U47" s="492"/>
      <c r="V47" s="492"/>
      <c r="W47" s="492"/>
      <c r="X47" s="492"/>
      <c r="Y47" s="492"/>
      <c r="Z47" s="492"/>
      <c r="AA47" s="492"/>
      <c r="AB47" s="492"/>
      <c r="AC47" s="492"/>
      <c r="AD47" s="492"/>
      <c r="AE47" s="492"/>
      <c r="AF47" s="492"/>
      <c r="AG47" s="492"/>
      <c r="AH47" s="492"/>
      <c r="AI47" s="492"/>
      <c r="AJ47" s="492"/>
      <c r="AK47" s="492"/>
      <c r="AL47" s="492"/>
      <c r="AM47" s="492"/>
      <c r="AN47" s="492"/>
      <c r="AO47" s="492"/>
      <c r="AP47" s="492"/>
      <c r="AQ47" s="492"/>
      <c r="AR47" s="492"/>
      <c r="AS47" s="492"/>
      <c r="AT47" s="492"/>
      <c r="AU47" s="492"/>
      <c r="AV47" s="492"/>
      <c r="AW47" s="492"/>
      <c r="AX47" s="492"/>
      <c r="AY47" s="492"/>
      <c r="AZ47" s="492"/>
    </row>
    <row r="48" spans="1:52" x14ac:dyDescent="0.2">
      <c r="A48" s="492"/>
      <c r="B48" s="492"/>
      <c r="C48" s="492"/>
      <c r="D48" s="492"/>
      <c r="E48" s="492"/>
      <c r="F48" s="492"/>
      <c r="G48" s="492"/>
      <c r="H48" s="492"/>
      <c r="I48" s="492"/>
      <c r="J48" s="492"/>
      <c r="K48" s="492"/>
      <c r="L48" s="492"/>
      <c r="M48" s="492"/>
      <c r="N48" s="492"/>
      <c r="O48" s="492"/>
      <c r="P48" s="492"/>
      <c r="Q48" s="492"/>
      <c r="R48" s="492"/>
      <c r="S48" s="492"/>
      <c r="T48" s="492"/>
      <c r="U48" s="492"/>
      <c r="V48" s="492"/>
      <c r="W48" s="492"/>
      <c r="X48" s="492"/>
      <c r="Y48" s="492"/>
      <c r="Z48" s="492"/>
      <c r="AA48" s="492"/>
      <c r="AB48" s="492"/>
      <c r="AC48" s="492"/>
      <c r="AD48" s="492"/>
      <c r="AE48" s="492"/>
      <c r="AF48" s="492"/>
      <c r="AG48" s="492"/>
      <c r="AH48" s="492"/>
      <c r="AI48" s="492"/>
      <c r="AJ48" s="492"/>
      <c r="AK48" s="492"/>
      <c r="AL48" s="492"/>
      <c r="AM48" s="492"/>
      <c r="AN48" s="492"/>
      <c r="AO48" s="492"/>
      <c r="AP48" s="492"/>
      <c r="AQ48" s="492"/>
      <c r="AR48" s="492"/>
      <c r="AS48" s="492"/>
      <c r="AT48" s="492"/>
      <c r="AU48" s="492"/>
      <c r="AV48" s="492"/>
      <c r="AW48" s="492"/>
      <c r="AX48" s="492"/>
      <c r="AY48" s="492"/>
      <c r="AZ48" s="492"/>
    </row>
    <row r="49" spans="1:52" x14ac:dyDescent="0.2">
      <c r="A49" s="492"/>
      <c r="B49" s="492"/>
      <c r="C49" s="492"/>
      <c r="D49" s="492"/>
      <c r="E49" s="492"/>
      <c r="F49" s="492"/>
      <c r="G49" s="492"/>
      <c r="H49" s="492"/>
      <c r="I49" s="492"/>
      <c r="J49" s="492"/>
      <c r="K49" s="492"/>
      <c r="L49" s="492"/>
      <c r="M49" s="492"/>
      <c r="N49" s="492"/>
      <c r="O49" s="492"/>
      <c r="P49" s="492"/>
      <c r="Q49" s="492"/>
      <c r="R49" s="492"/>
      <c r="S49" s="492"/>
      <c r="T49" s="492"/>
      <c r="U49" s="492"/>
      <c r="V49" s="492"/>
      <c r="W49" s="492"/>
      <c r="X49" s="492"/>
      <c r="Y49" s="492"/>
      <c r="Z49" s="492"/>
      <c r="AA49" s="492"/>
      <c r="AB49" s="492"/>
      <c r="AC49" s="492"/>
      <c r="AD49" s="492"/>
      <c r="AE49" s="492"/>
      <c r="AF49" s="492"/>
      <c r="AG49" s="492"/>
      <c r="AH49" s="492"/>
      <c r="AI49" s="492"/>
      <c r="AJ49" s="492"/>
      <c r="AK49" s="492"/>
      <c r="AL49" s="492"/>
      <c r="AM49" s="492"/>
      <c r="AN49" s="492"/>
      <c r="AO49" s="492"/>
      <c r="AP49" s="492"/>
      <c r="AQ49" s="492"/>
      <c r="AR49" s="492"/>
      <c r="AS49" s="492"/>
      <c r="AT49" s="492"/>
      <c r="AU49" s="492"/>
      <c r="AV49" s="492"/>
      <c r="AW49" s="492"/>
      <c r="AX49" s="492"/>
      <c r="AY49" s="492"/>
      <c r="AZ49" s="492"/>
    </row>
    <row r="50" spans="1:52" x14ac:dyDescent="0.2">
      <c r="A50" s="492"/>
      <c r="B50" s="492"/>
      <c r="C50" s="492"/>
      <c r="D50" s="492"/>
      <c r="E50" s="492"/>
      <c r="F50" s="492"/>
      <c r="G50" s="492"/>
      <c r="H50" s="492"/>
      <c r="I50" s="492"/>
      <c r="J50" s="492"/>
      <c r="K50" s="492"/>
      <c r="L50" s="492"/>
      <c r="M50" s="492"/>
      <c r="N50" s="492"/>
      <c r="O50" s="492"/>
      <c r="P50" s="492"/>
      <c r="Q50" s="492"/>
      <c r="R50" s="492"/>
      <c r="S50" s="492"/>
      <c r="T50" s="492"/>
      <c r="U50" s="492"/>
      <c r="V50" s="492"/>
      <c r="W50" s="492"/>
      <c r="X50" s="492"/>
      <c r="Y50" s="492"/>
      <c r="Z50" s="492"/>
      <c r="AA50" s="492"/>
      <c r="AB50" s="492"/>
      <c r="AC50" s="492"/>
      <c r="AD50" s="492"/>
      <c r="AE50" s="492"/>
      <c r="AF50" s="492"/>
      <c r="AG50" s="492"/>
      <c r="AH50" s="492"/>
      <c r="AI50" s="492"/>
      <c r="AJ50" s="492"/>
      <c r="AK50" s="492"/>
      <c r="AL50" s="492"/>
      <c r="AM50" s="492"/>
      <c r="AN50" s="492"/>
      <c r="AO50" s="492"/>
      <c r="AP50" s="492"/>
      <c r="AQ50" s="492"/>
      <c r="AR50" s="492"/>
      <c r="AS50" s="492"/>
      <c r="AT50" s="492"/>
      <c r="AU50" s="492"/>
      <c r="AV50" s="492"/>
      <c r="AW50" s="492"/>
      <c r="AX50" s="492"/>
      <c r="AY50" s="492"/>
      <c r="AZ50" s="492"/>
    </row>
    <row r="51" spans="1:52" x14ac:dyDescent="0.2">
      <c r="A51" s="492"/>
      <c r="B51" s="492"/>
      <c r="C51" s="492"/>
      <c r="D51" s="492"/>
      <c r="E51" s="492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2"/>
      <c r="R51" s="492"/>
      <c r="S51" s="492"/>
      <c r="T51" s="492"/>
      <c r="U51" s="492"/>
      <c r="V51" s="492"/>
      <c r="W51" s="492"/>
      <c r="X51" s="492"/>
      <c r="Y51" s="492"/>
      <c r="Z51" s="492"/>
      <c r="AA51" s="492"/>
      <c r="AB51" s="492"/>
      <c r="AC51" s="492"/>
      <c r="AD51" s="492"/>
      <c r="AE51" s="492"/>
      <c r="AF51" s="492"/>
      <c r="AG51" s="492"/>
      <c r="AH51" s="492"/>
      <c r="AI51" s="492"/>
      <c r="AJ51" s="492"/>
      <c r="AK51" s="492"/>
      <c r="AL51" s="492"/>
      <c r="AM51" s="492"/>
      <c r="AN51" s="492"/>
      <c r="AO51" s="492"/>
      <c r="AP51" s="492"/>
      <c r="AQ51" s="492"/>
      <c r="AR51" s="492"/>
      <c r="AS51" s="492"/>
      <c r="AT51" s="492"/>
      <c r="AU51" s="492"/>
      <c r="AV51" s="492"/>
      <c r="AW51" s="492"/>
      <c r="AX51" s="492"/>
      <c r="AY51" s="492"/>
      <c r="AZ51" s="492"/>
    </row>
    <row r="52" spans="1:52" x14ac:dyDescent="0.2">
      <c r="A52" s="492"/>
      <c r="B52" s="492"/>
      <c r="C52" s="492"/>
      <c r="D52" s="492"/>
      <c r="E52" s="492"/>
      <c r="F52" s="492"/>
      <c r="G52" s="492"/>
      <c r="H52" s="492"/>
      <c r="I52" s="492"/>
      <c r="J52" s="492"/>
      <c r="K52" s="492"/>
      <c r="L52" s="492"/>
      <c r="M52" s="492"/>
      <c r="N52" s="492"/>
      <c r="O52" s="492"/>
      <c r="P52" s="492"/>
      <c r="Q52" s="492"/>
      <c r="R52" s="492"/>
      <c r="S52" s="492"/>
      <c r="T52" s="492"/>
      <c r="U52" s="492"/>
      <c r="V52" s="492"/>
      <c r="W52" s="492"/>
      <c r="X52" s="492"/>
      <c r="Y52" s="492"/>
      <c r="Z52" s="492"/>
      <c r="AA52" s="492"/>
      <c r="AB52" s="492"/>
      <c r="AC52" s="492"/>
      <c r="AD52" s="492"/>
      <c r="AE52" s="492"/>
      <c r="AF52" s="492"/>
      <c r="AG52" s="492"/>
      <c r="AH52" s="492"/>
      <c r="AI52" s="492"/>
      <c r="AJ52" s="492"/>
      <c r="AK52" s="492"/>
      <c r="AL52" s="492"/>
      <c r="AM52" s="492"/>
      <c r="AN52" s="492"/>
      <c r="AO52" s="492"/>
      <c r="AP52" s="492"/>
      <c r="AQ52" s="492"/>
      <c r="AR52" s="492"/>
      <c r="AS52" s="492"/>
      <c r="AT52" s="492"/>
      <c r="AU52" s="492"/>
      <c r="AV52" s="492"/>
      <c r="AW52" s="492"/>
      <c r="AX52" s="492"/>
      <c r="AY52" s="492"/>
      <c r="AZ52" s="492"/>
    </row>
    <row r="53" spans="1:52" x14ac:dyDescent="0.2">
      <c r="A53" s="492"/>
      <c r="B53" s="492"/>
      <c r="C53" s="492"/>
      <c r="D53" s="492"/>
      <c r="E53" s="492"/>
      <c r="F53" s="492"/>
      <c r="G53" s="492"/>
      <c r="H53" s="492"/>
      <c r="I53" s="492"/>
      <c r="J53" s="492"/>
      <c r="K53" s="492"/>
      <c r="L53" s="492"/>
      <c r="M53" s="492"/>
      <c r="N53" s="492"/>
      <c r="O53" s="492"/>
      <c r="P53" s="492"/>
      <c r="Q53" s="492"/>
      <c r="R53" s="492"/>
      <c r="S53" s="492"/>
      <c r="T53" s="492"/>
      <c r="U53" s="492"/>
      <c r="V53" s="492"/>
      <c r="W53" s="492"/>
      <c r="X53" s="492"/>
      <c r="Y53" s="492"/>
      <c r="Z53" s="492"/>
      <c r="AA53" s="492"/>
      <c r="AB53" s="492"/>
      <c r="AC53" s="492"/>
      <c r="AD53" s="492"/>
      <c r="AE53" s="492"/>
      <c r="AF53" s="492"/>
      <c r="AG53" s="492"/>
      <c r="AH53" s="492"/>
      <c r="AI53" s="492"/>
      <c r="AJ53" s="492"/>
      <c r="AK53" s="492"/>
      <c r="AL53" s="492"/>
      <c r="AM53" s="492"/>
      <c r="AN53" s="492"/>
      <c r="AO53" s="492"/>
      <c r="AP53" s="492"/>
      <c r="AQ53" s="492"/>
      <c r="AR53" s="492"/>
      <c r="AS53" s="492"/>
      <c r="AT53" s="492"/>
      <c r="AU53" s="492"/>
      <c r="AV53" s="492"/>
      <c r="AW53" s="492"/>
      <c r="AX53" s="492"/>
      <c r="AY53" s="492"/>
      <c r="AZ53" s="492"/>
    </row>
    <row r="54" spans="1:52" x14ac:dyDescent="0.2">
      <c r="A54" s="492"/>
      <c r="B54" s="492"/>
      <c r="C54" s="492"/>
      <c r="D54" s="492"/>
      <c r="E54" s="492"/>
      <c r="F54" s="492"/>
      <c r="G54" s="492"/>
      <c r="H54" s="492"/>
      <c r="I54" s="492"/>
      <c r="J54" s="492"/>
      <c r="K54" s="492"/>
      <c r="L54" s="492"/>
      <c r="M54" s="492"/>
      <c r="N54" s="492"/>
      <c r="O54" s="492"/>
      <c r="P54" s="492"/>
      <c r="Q54" s="492"/>
      <c r="R54" s="492"/>
      <c r="S54" s="492"/>
      <c r="T54" s="492"/>
      <c r="U54" s="492"/>
      <c r="V54" s="492"/>
      <c r="W54" s="492"/>
      <c r="X54" s="492"/>
      <c r="Y54" s="492"/>
      <c r="Z54" s="492"/>
      <c r="AA54" s="492"/>
      <c r="AB54" s="492"/>
      <c r="AC54" s="492"/>
      <c r="AD54" s="492"/>
      <c r="AE54" s="492"/>
      <c r="AF54" s="492"/>
      <c r="AG54" s="492"/>
      <c r="AH54" s="492"/>
      <c r="AI54" s="492"/>
      <c r="AJ54" s="492"/>
      <c r="AK54" s="492"/>
      <c r="AL54" s="492"/>
      <c r="AM54" s="492"/>
      <c r="AN54" s="492"/>
      <c r="AO54" s="492"/>
      <c r="AP54" s="492"/>
      <c r="AQ54" s="492"/>
      <c r="AR54" s="492"/>
      <c r="AS54" s="492"/>
      <c r="AT54" s="492"/>
      <c r="AU54" s="492"/>
      <c r="AV54" s="492"/>
      <c r="AW54" s="492"/>
      <c r="AX54" s="492"/>
      <c r="AY54" s="492"/>
      <c r="AZ54" s="492"/>
    </row>
    <row r="55" spans="1:52" x14ac:dyDescent="0.2">
      <c r="A55" s="492"/>
      <c r="B55" s="492"/>
      <c r="C55" s="492"/>
      <c r="D55" s="492"/>
      <c r="E55" s="492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2"/>
      <c r="R55" s="492"/>
      <c r="S55" s="492"/>
      <c r="T55" s="492"/>
      <c r="U55" s="492"/>
      <c r="V55" s="492"/>
      <c r="W55" s="492"/>
      <c r="X55" s="492"/>
      <c r="Y55" s="492"/>
      <c r="Z55" s="492"/>
      <c r="AA55" s="492"/>
      <c r="AB55" s="492"/>
      <c r="AC55" s="492"/>
      <c r="AD55" s="492"/>
      <c r="AE55" s="492"/>
      <c r="AF55" s="492"/>
      <c r="AG55" s="492"/>
      <c r="AH55" s="492"/>
      <c r="AI55" s="492"/>
      <c r="AJ55" s="492"/>
      <c r="AK55" s="492"/>
      <c r="AL55" s="492"/>
      <c r="AM55" s="492"/>
      <c r="AN55" s="492"/>
      <c r="AO55" s="492"/>
      <c r="AP55" s="492"/>
      <c r="AQ55" s="492"/>
      <c r="AR55" s="492"/>
      <c r="AS55" s="492"/>
      <c r="AT55" s="492"/>
      <c r="AU55" s="492"/>
      <c r="AV55" s="492"/>
      <c r="AW55" s="492"/>
      <c r="AX55" s="492"/>
      <c r="AY55" s="492"/>
      <c r="AZ55" s="492"/>
    </row>
    <row r="56" spans="1:52" x14ac:dyDescent="0.2">
      <c r="A56" s="492"/>
      <c r="B56" s="492"/>
      <c r="C56" s="492"/>
      <c r="D56" s="492"/>
      <c r="E56" s="492"/>
      <c r="F56" s="492"/>
      <c r="G56" s="492"/>
      <c r="H56" s="492"/>
      <c r="I56" s="492"/>
      <c r="J56" s="492"/>
      <c r="K56" s="492"/>
      <c r="L56" s="492"/>
      <c r="M56" s="492"/>
      <c r="N56" s="492"/>
      <c r="O56" s="492"/>
      <c r="P56" s="492"/>
      <c r="Q56" s="492"/>
      <c r="R56" s="492"/>
      <c r="S56" s="492"/>
      <c r="T56" s="492"/>
      <c r="U56" s="492"/>
      <c r="V56" s="492"/>
      <c r="W56" s="492"/>
      <c r="X56" s="492"/>
      <c r="Y56" s="492"/>
      <c r="Z56" s="492"/>
      <c r="AA56" s="492"/>
      <c r="AB56" s="492"/>
      <c r="AC56" s="492"/>
      <c r="AD56" s="492"/>
      <c r="AE56" s="492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</row>
    <row r="57" spans="1:52" x14ac:dyDescent="0.2">
      <c r="A57" s="492"/>
      <c r="B57" s="492"/>
      <c r="C57" s="492"/>
      <c r="D57" s="492"/>
      <c r="E57" s="492"/>
      <c r="F57" s="492"/>
      <c r="G57" s="492"/>
      <c r="H57" s="492"/>
      <c r="I57" s="492"/>
      <c r="J57" s="492"/>
      <c r="K57" s="492"/>
      <c r="L57" s="492"/>
      <c r="M57" s="492"/>
      <c r="N57" s="492"/>
      <c r="O57" s="492"/>
      <c r="P57" s="492"/>
      <c r="Q57" s="492"/>
      <c r="R57" s="492"/>
      <c r="S57" s="492"/>
      <c r="T57" s="492"/>
      <c r="U57" s="492"/>
      <c r="V57" s="492"/>
      <c r="W57" s="492"/>
      <c r="X57" s="492"/>
      <c r="Y57" s="492"/>
      <c r="Z57" s="492"/>
      <c r="AA57" s="492"/>
      <c r="AB57" s="492"/>
      <c r="AC57" s="492"/>
      <c r="AD57" s="492"/>
      <c r="AE57" s="492"/>
      <c r="AF57" s="492"/>
      <c r="AG57" s="492"/>
      <c r="AH57" s="492"/>
      <c r="AI57" s="492"/>
      <c r="AJ57" s="492"/>
      <c r="AK57" s="492"/>
      <c r="AL57" s="492"/>
      <c r="AM57" s="492"/>
      <c r="AN57" s="492"/>
      <c r="AO57" s="492"/>
      <c r="AP57" s="492"/>
      <c r="AQ57" s="492"/>
      <c r="AR57" s="492"/>
      <c r="AS57" s="492"/>
      <c r="AT57" s="492"/>
      <c r="AU57" s="492"/>
      <c r="AV57" s="492"/>
      <c r="AW57" s="492"/>
      <c r="AX57" s="492"/>
      <c r="AY57" s="492"/>
      <c r="AZ57" s="492"/>
    </row>
    <row r="58" spans="1:52" x14ac:dyDescent="0.2">
      <c r="A58" s="492"/>
      <c r="B58" s="492"/>
      <c r="C58" s="492"/>
      <c r="D58" s="492"/>
      <c r="E58" s="492"/>
      <c r="F58" s="492"/>
      <c r="G58" s="492"/>
      <c r="H58" s="492"/>
      <c r="I58" s="492"/>
      <c r="J58" s="492"/>
      <c r="K58" s="492"/>
      <c r="L58" s="492"/>
      <c r="M58" s="492"/>
      <c r="N58" s="492"/>
      <c r="O58" s="492"/>
      <c r="P58" s="492"/>
      <c r="Q58" s="492"/>
      <c r="R58" s="492"/>
      <c r="S58" s="492"/>
      <c r="T58" s="492"/>
      <c r="U58" s="492"/>
      <c r="V58" s="492"/>
      <c r="W58" s="492"/>
      <c r="X58" s="492"/>
      <c r="Y58" s="492"/>
      <c r="Z58" s="492"/>
      <c r="AA58" s="492"/>
      <c r="AB58" s="492"/>
      <c r="AC58" s="492"/>
      <c r="AD58" s="492"/>
      <c r="AE58" s="492"/>
      <c r="AF58" s="492"/>
      <c r="AG58" s="492"/>
      <c r="AH58" s="492"/>
      <c r="AI58" s="492"/>
      <c r="AJ58" s="492"/>
      <c r="AK58" s="492"/>
      <c r="AL58" s="492"/>
      <c r="AM58" s="492"/>
      <c r="AN58" s="492"/>
      <c r="AO58" s="492"/>
      <c r="AP58" s="492"/>
      <c r="AQ58" s="492"/>
      <c r="AR58" s="492"/>
      <c r="AS58" s="492"/>
      <c r="AT58" s="492"/>
      <c r="AU58" s="492"/>
      <c r="AV58" s="492"/>
      <c r="AW58" s="492"/>
      <c r="AX58" s="492"/>
      <c r="AY58" s="492"/>
      <c r="AZ58" s="492"/>
    </row>
    <row r="59" spans="1:52" x14ac:dyDescent="0.2">
      <c r="A59" s="492"/>
      <c r="B59" s="492"/>
      <c r="C59" s="492"/>
      <c r="D59" s="492"/>
      <c r="E59" s="492"/>
      <c r="F59" s="492"/>
      <c r="G59" s="492"/>
      <c r="H59" s="492"/>
      <c r="I59" s="492"/>
      <c r="J59" s="492"/>
      <c r="K59" s="492"/>
      <c r="L59" s="492"/>
      <c r="M59" s="492"/>
      <c r="N59" s="492"/>
      <c r="O59" s="492"/>
      <c r="P59" s="492"/>
      <c r="Q59" s="492"/>
      <c r="R59" s="492"/>
      <c r="S59" s="492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  <c r="AD59" s="492"/>
      <c r="AE59" s="492"/>
      <c r="AF59" s="492"/>
      <c r="AG59" s="492"/>
      <c r="AH59" s="492"/>
      <c r="AI59" s="492"/>
      <c r="AJ59" s="492"/>
      <c r="AK59" s="492"/>
      <c r="AL59" s="492"/>
      <c r="AM59" s="492"/>
      <c r="AN59" s="492"/>
      <c r="AO59" s="492"/>
      <c r="AP59" s="492"/>
      <c r="AQ59" s="492"/>
      <c r="AR59" s="492"/>
      <c r="AS59" s="492"/>
      <c r="AT59" s="492"/>
      <c r="AU59" s="492"/>
      <c r="AV59" s="492"/>
      <c r="AW59" s="492"/>
      <c r="AX59" s="492"/>
      <c r="AY59" s="492"/>
      <c r="AZ59" s="492"/>
    </row>
    <row r="60" spans="1:52" x14ac:dyDescent="0.2">
      <c r="A60" s="492"/>
      <c r="B60" s="492"/>
      <c r="C60" s="492"/>
      <c r="D60" s="492"/>
      <c r="E60" s="492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2"/>
      <c r="R60" s="492"/>
      <c r="S60" s="492"/>
      <c r="T60" s="492"/>
      <c r="U60" s="492"/>
      <c r="V60" s="492"/>
      <c r="W60" s="492"/>
      <c r="X60" s="492"/>
      <c r="Y60" s="492"/>
      <c r="Z60" s="492"/>
      <c r="AA60" s="492"/>
      <c r="AB60" s="492"/>
      <c r="AC60" s="492"/>
      <c r="AD60" s="492"/>
      <c r="AE60" s="492"/>
      <c r="AF60" s="492"/>
      <c r="AG60" s="492"/>
      <c r="AH60" s="492"/>
      <c r="AI60" s="492"/>
      <c r="AJ60" s="492"/>
      <c r="AK60" s="492"/>
      <c r="AL60" s="492"/>
      <c r="AM60" s="492"/>
      <c r="AN60" s="492"/>
      <c r="AO60" s="492"/>
      <c r="AP60" s="492"/>
      <c r="AQ60" s="492"/>
      <c r="AR60" s="492"/>
      <c r="AS60" s="492"/>
      <c r="AT60" s="492"/>
      <c r="AU60" s="492"/>
      <c r="AV60" s="492"/>
      <c r="AW60" s="492"/>
      <c r="AX60" s="492"/>
      <c r="AY60" s="492"/>
      <c r="AZ60" s="492"/>
    </row>
    <row r="61" spans="1:52" x14ac:dyDescent="0.2">
      <c r="A61" s="492"/>
      <c r="B61" s="492"/>
      <c r="C61" s="492"/>
      <c r="D61" s="492"/>
      <c r="E61" s="492"/>
      <c r="F61" s="492"/>
      <c r="G61" s="492"/>
      <c r="H61" s="492"/>
      <c r="I61" s="492"/>
      <c r="J61" s="492"/>
      <c r="K61" s="492"/>
      <c r="L61" s="492"/>
      <c r="M61" s="492"/>
      <c r="N61" s="492"/>
      <c r="O61" s="492"/>
      <c r="P61" s="492"/>
      <c r="Q61" s="492"/>
      <c r="R61" s="492"/>
      <c r="S61" s="492"/>
      <c r="T61" s="492"/>
      <c r="U61" s="492"/>
      <c r="V61" s="492"/>
      <c r="W61" s="492"/>
      <c r="X61" s="492"/>
      <c r="Y61" s="492"/>
      <c r="Z61" s="492"/>
      <c r="AA61" s="492"/>
      <c r="AB61" s="492"/>
      <c r="AC61" s="492"/>
      <c r="AD61" s="492"/>
      <c r="AE61" s="492"/>
      <c r="AF61" s="492"/>
      <c r="AG61" s="492"/>
      <c r="AH61" s="492"/>
      <c r="AI61" s="492"/>
      <c r="AJ61" s="492"/>
      <c r="AK61" s="492"/>
      <c r="AL61" s="492"/>
      <c r="AM61" s="492"/>
      <c r="AN61" s="492"/>
      <c r="AO61" s="492"/>
      <c r="AP61" s="492"/>
      <c r="AQ61" s="492"/>
      <c r="AR61" s="492"/>
      <c r="AS61" s="492"/>
      <c r="AT61" s="492"/>
      <c r="AU61" s="492"/>
      <c r="AV61" s="492"/>
      <c r="AW61" s="492"/>
      <c r="AX61" s="492"/>
      <c r="AY61" s="492"/>
      <c r="AZ61" s="492"/>
    </row>
    <row r="62" spans="1:52" x14ac:dyDescent="0.2">
      <c r="A62" s="492"/>
      <c r="B62" s="492"/>
      <c r="C62" s="492"/>
      <c r="D62" s="492"/>
      <c r="E62" s="492"/>
      <c r="F62" s="492"/>
      <c r="G62" s="492"/>
      <c r="H62" s="492"/>
      <c r="I62" s="492"/>
      <c r="J62" s="492"/>
      <c r="K62" s="492"/>
      <c r="L62" s="492"/>
      <c r="M62" s="492"/>
      <c r="N62" s="492"/>
      <c r="O62" s="492"/>
      <c r="P62" s="492"/>
      <c r="Q62" s="492"/>
      <c r="R62" s="492"/>
      <c r="S62" s="492"/>
      <c r="T62" s="492"/>
      <c r="U62" s="492"/>
      <c r="V62" s="492"/>
      <c r="W62" s="492"/>
      <c r="X62" s="492"/>
      <c r="Y62" s="492"/>
      <c r="Z62" s="492"/>
      <c r="AA62" s="492"/>
      <c r="AB62" s="492"/>
      <c r="AC62" s="492"/>
      <c r="AD62" s="492"/>
      <c r="AE62" s="492"/>
      <c r="AF62" s="492"/>
      <c r="AG62" s="492"/>
      <c r="AH62" s="492"/>
      <c r="AI62" s="492"/>
      <c r="AJ62" s="492"/>
      <c r="AK62" s="492"/>
      <c r="AL62" s="492"/>
      <c r="AM62" s="492"/>
      <c r="AN62" s="492"/>
      <c r="AO62" s="492"/>
      <c r="AP62" s="492"/>
      <c r="AQ62" s="492"/>
      <c r="AR62" s="492"/>
      <c r="AS62" s="492"/>
      <c r="AT62" s="492"/>
      <c r="AU62" s="492"/>
      <c r="AV62" s="492"/>
      <c r="AW62" s="492"/>
      <c r="AX62" s="492"/>
      <c r="AY62" s="492"/>
      <c r="AZ62" s="492"/>
    </row>
    <row r="63" spans="1:52" x14ac:dyDescent="0.2">
      <c r="A63" s="492"/>
      <c r="B63" s="492"/>
      <c r="C63" s="492"/>
      <c r="D63" s="492"/>
      <c r="E63" s="492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2"/>
      <c r="R63" s="492"/>
      <c r="S63" s="492"/>
      <c r="T63" s="492"/>
      <c r="U63" s="492"/>
      <c r="V63" s="492"/>
      <c r="W63" s="492"/>
      <c r="X63" s="492"/>
      <c r="Y63" s="492"/>
      <c r="Z63" s="492"/>
      <c r="AA63" s="492"/>
      <c r="AB63" s="492"/>
      <c r="AC63" s="492"/>
      <c r="AD63" s="492"/>
      <c r="AE63" s="492"/>
      <c r="AF63" s="492"/>
      <c r="AG63" s="492"/>
      <c r="AH63" s="492"/>
      <c r="AI63" s="492"/>
      <c r="AJ63" s="492"/>
      <c r="AK63" s="492"/>
      <c r="AL63" s="492"/>
      <c r="AM63" s="492"/>
      <c r="AN63" s="492"/>
      <c r="AO63" s="492"/>
      <c r="AP63" s="492"/>
      <c r="AQ63" s="492"/>
      <c r="AR63" s="492"/>
      <c r="AS63" s="492"/>
      <c r="AT63" s="492"/>
      <c r="AU63" s="492"/>
      <c r="AV63" s="492"/>
      <c r="AW63" s="492"/>
      <c r="AX63" s="492"/>
      <c r="AY63" s="492"/>
      <c r="AZ63" s="492"/>
    </row>
    <row r="64" spans="1:52" x14ac:dyDescent="0.2">
      <c r="A64" s="492"/>
      <c r="B64" s="492"/>
      <c r="C64" s="492"/>
      <c r="D64" s="492"/>
      <c r="E64" s="492"/>
      <c r="F64" s="492"/>
      <c r="G64" s="492"/>
      <c r="H64" s="492"/>
      <c r="I64" s="492"/>
      <c r="J64" s="492"/>
      <c r="K64" s="492"/>
      <c r="L64" s="492"/>
      <c r="M64" s="492"/>
      <c r="N64" s="492"/>
      <c r="O64" s="492"/>
      <c r="P64" s="492"/>
      <c r="Q64" s="492"/>
      <c r="R64" s="492"/>
      <c r="S64" s="492"/>
      <c r="T64" s="492"/>
      <c r="U64" s="492"/>
      <c r="V64" s="492"/>
      <c r="W64" s="492"/>
      <c r="X64" s="492"/>
      <c r="Y64" s="492"/>
      <c r="Z64" s="492"/>
      <c r="AA64" s="492"/>
      <c r="AB64" s="492"/>
      <c r="AC64" s="492"/>
      <c r="AD64" s="492"/>
      <c r="AE64" s="492"/>
      <c r="AF64" s="492"/>
      <c r="AG64" s="492"/>
      <c r="AH64" s="492"/>
      <c r="AI64" s="492"/>
      <c r="AJ64" s="492"/>
      <c r="AK64" s="492"/>
      <c r="AL64" s="492"/>
      <c r="AM64" s="492"/>
      <c r="AN64" s="492"/>
      <c r="AO64" s="492"/>
      <c r="AP64" s="492"/>
      <c r="AQ64" s="492"/>
      <c r="AR64" s="492"/>
      <c r="AS64" s="492"/>
      <c r="AT64" s="492"/>
      <c r="AU64" s="492"/>
      <c r="AV64" s="492"/>
      <c r="AW64" s="492"/>
      <c r="AX64" s="492"/>
      <c r="AY64" s="492"/>
      <c r="AZ64" s="492"/>
    </row>
    <row r="65" spans="1:52" x14ac:dyDescent="0.2">
      <c r="A65" s="492"/>
      <c r="B65" s="492"/>
      <c r="C65" s="492"/>
      <c r="D65" s="492"/>
      <c r="E65" s="492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2"/>
      <c r="R65" s="492"/>
      <c r="S65" s="492"/>
      <c r="T65" s="492"/>
      <c r="U65" s="492"/>
      <c r="V65" s="492"/>
      <c r="W65" s="492"/>
      <c r="X65" s="492"/>
      <c r="Y65" s="492"/>
      <c r="Z65" s="492"/>
      <c r="AA65" s="492"/>
      <c r="AB65" s="492"/>
      <c r="AC65" s="492"/>
      <c r="AD65" s="492"/>
      <c r="AE65" s="492"/>
      <c r="AF65" s="492"/>
      <c r="AG65" s="492"/>
      <c r="AH65" s="492"/>
      <c r="AI65" s="492"/>
      <c r="AJ65" s="492"/>
      <c r="AK65" s="492"/>
      <c r="AL65" s="492"/>
      <c r="AM65" s="492"/>
      <c r="AN65" s="492"/>
      <c r="AO65" s="492"/>
      <c r="AP65" s="492"/>
      <c r="AQ65" s="492"/>
      <c r="AR65" s="492"/>
      <c r="AS65" s="492"/>
      <c r="AT65" s="492"/>
      <c r="AU65" s="492"/>
      <c r="AV65" s="492"/>
      <c r="AW65" s="492"/>
      <c r="AX65" s="492"/>
      <c r="AY65" s="492"/>
      <c r="AZ65" s="492"/>
    </row>
    <row r="66" spans="1:52" x14ac:dyDescent="0.2">
      <c r="A66" s="492"/>
      <c r="B66" s="492"/>
      <c r="C66" s="492"/>
      <c r="D66" s="492"/>
      <c r="E66" s="492"/>
      <c r="F66" s="492"/>
      <c r="G66" s="492"/>
      <c r="H66" s="492"/>
      <c r="I66" s="492"/>
      <c r="J66" s="492"/>
      <c r="K66" s="492"/>
      <c r="L66" s="492"/>
      <c r="M66" s="492"/>
      <c r="N66" s="492"/>
      <c r="O66" s="492"/>
      <c r="P66" s="492"/>
      <c r="Q66" s="492"/>
      <c r="R66" s="492"/>
      <c r="S66" s="492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  <c r="AD66" s="492"/>
      <c r="AE66" s="492"/>
      <c r="AF66" s="492"/>
      <c r="AG66" s="492"/>
      <c r="AH66" s="492"/>
      <c r="AI66" s="492"/>
      <c r="AJ66" s="492"/>
      <c r="AK66" s="492"/>
      <c r="AL66" s="492"/>
      <c r="AM66" s="492"/>
      <c r="AN66" s="492"/>
      <c r="AO66" s="492"/>
      <c r="AP66" s="492"/>
      <c r="AQ66" s="492"/>
      <c r="AR66" s="492"/>
      <c r="AS66" s="492"/>
      <c r="AT66" s="492"/>
      <c r="AU66" s="492"/>
      <c r="AV66" s="492"/>
      <c r="AW66" s="492"/>
      <c r="AX66" s="492"/>
      <c r="AY66" s="492"/>
      <c r="AZ66" s="492"/>
    </row>
    <row r="67" spans="1:52" x14ac:dyDescent="0.2">
      <c r="A67" s="492"/>
      <c r="B67" s="492"/>
      <c r="C67" s="492"/>
      <c r="D67" s="492"/>
      <c r="E67" s="492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2"/>
      <c r="R67" s="492"/>
      <c r="S67" s="492"/>
      <c r="T67" s="492"/>
      <c r="U67" s="492"/>
      <c r="V67" s="492"/>
      <c r="W67" s="492"/>
      <c r="X67" s="492"/>
      <c r="Y67" s="492"/>
      <c r="Z67" s="492"/>
      <c r="AA67" s="492"/>
      <c r="AB67" s="492"/>
      <c r="AC67" s="492"/>
      <c r="AD67" s="492"/>
      <c r="AE67" s="492"/>
      <c r="AF67" s="492"/>
      <c r="AG67" s="492"/>
      <c r="AH67" s="492"/>
      <c r="AI67" s="492"/>
      <c r="AJ67" s="492"/>
      <c r="AK67" s="492"/>
      <c r="AL67" s="492"/>
      <c r="AM67" s="492"/>
      <c r="AN67" s="492"/>
      <c r="AO67" s="492"/>
      <c r="AP67" s="492"/>
      <c r="AQ67" s="492"/>
      <c r="AR67" s="492"/>
      <c r="AS67" s="492"/>
      <c r="AT67" s="492"/>
      <c r="AU67" s="492"/>
      <c r="AV67" s="492"/>
      <c r="AW67" s="492"/>
      <c r="AX67" s="492"/>
      <c r="AY67" s="492"/>
      <c r="AZ67" s="492"/>
    </row>
    <row r="68" spans="1:52" x14ac:dyDescent="0.2">
      <c r="A68" s="492"/>
      <c r="B68" s="492"/>
      <c r="C68" s="492"/>
      <c r="D68" s="492"/>
      <c r="E68" s="492"/>
      <c r="F68" s="492"/>
      <c r="G68" s="492"/>
      <c r="H68" s="492"/>
      <c r="I68" s="492"/>
      <c r="J68" s="492"/>
      <c r="K68" s="492"/>
      <c r="L68" s="492"/>
      <c r="M68" s="492"/>
      <c r="N68" s="492"/>
      <c r="O68" s="492"/>
      <c r="P68" s="492"/>
      <c r="Q68" s="492"/>
      <c r="R68" s="492"/>
      <c r="S68" s="492"/>
      <c r="T68" s="492"/>
      <c r="U68" s="492"/>
      <c r="V68" s="492"/>
      <c r="W68" s="492"/>
      <c r="X68" s="492"/>
      <c r="Y68" s="492"/>
      <c r="Z68" s="492"/>
      <c r="AA68" s="492"/>
      <c r="AB68" s="492"/>
      <c r="AC68" s="492"/>
      <c r="AD68" s="492"/>
      <c r="AE68" s="492"/>
      <c r="AF68" s="492"/>
      <c r="AG68" s="492"/>
      <c r="AH68" s="492"/>
      <c r="AI68" s="492"/>
      <c r="AJ68" s="492"/>
      <c r="AK68" s="492"/>
      <c r="AL68" s="492"/>
      <c r="AM68" s="492"/>
      <c r="AN68" s="492"/>
      <c r="AO68" s="492"/>
      <c r="AP68" s="492"/>
      <c r="AQ68" s="492"/>
      <c r="AR68" s="492"/>
      <c r="AS68" s="492"/>
      <c r="AT68" s="492"/>
      <c r="AU68" s="492"/>
      <c r="AV68" s="492"/>
      <c r="AW68" s="492"/>
      <c r="AX68" s="492"/>
      <c r="AY68" s="492"/>
      <c r="AZ68" s="492"/>
    </row>
    <row r="69" spans="1:52" x14ac:dyDescent="0.2">
      <c r="A69" s="492"/>
      <c r="B69" s="492"/>
      <c r="C69" s="492"/>
      <c r="D69" s="492"/>
      <c r="E69" s="492"/>
      <c r="F69" s="492"/>
      <c r="G69" s="492"/>
      <c r="H69" s="492"/>
      <c r="I69" s="492"/>
      <c r="J69" s="492"/>
      <c r="K69" s="492"/>
      <c r="L69" s="492"/>
      <c r="M69" s="492"/>
      <c r="N69" s="492"/>
      <c r="O69" s="492"/>
      <c r="P69" s="492"/>
      <c r="Q69" s="492"/>
      <c r="R69" s="492"/>
      <c r="S69" s="492"/>
      <c r="T69" s="492"/>
      <c r="U69" s="492"/>
      <c r="V69" s="492"/>
      <c r="W69" s="492"/>
      <c r="X69" s="492"/>
      <c r="Y69" s="492"/>
      <c r="Z69" s="492"/>
      <c r="AA69" s="492"/>
      <c r="AB69" s="492"/>
      <c r="AC69" s="492"/>
      <c r="AD69" s="492"/>
      <c r="AE69" s="492"/>
      <c r="AF69" s="492"/>
      <c r="AG69" s="492"/>
      <c r="AH69" s="492"/>
      <c r="AI69" s="492"/>
      <c r="AJ69" s="492"/>
      <c r="AK69" s="492"/>
      <c r="AL69" s="492"/>
      <c r="AM69" s="492"/>
      <c r="AN69" s="492"/>
      <c r="AO69" s="492"/>
      <c r="AP69" s="492"/>
      <c r="AQ69" s="492"/>
      <c r="AR69" s="492"/>
      <c r="AS69" s="492"/>
      <c r="AT69" s="492"/>
      <c r="AU69" s="492"/>
      <c r="AV69" s="492"/>
      <c r="AW69" s="492"/>
      <c r="AX69" s="492"/>
      <c r="AY69" s="492"/>
      <c r="AZ69" s="492"/>
    </row>
    <row r="70" spans="1:52" x14ac:dyDescent="0.2">
      <c r="A70" s="492"/>
      <c r="B70" s="492"/>
      <c r="C70" s="492"/>
      <c r="D70" s="492"/>
      <c r="E70" s="492"/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2"/>
      <c r="R70" s="492"/>
      <c r="S70" s="492"/>
      <c r="T70" s="492"/>
      <c r="U70" s="492"/>
      <c r="V70" s="492"/>
      <c r="W70" s="492"/>
      <c r="X70" s="492"/>
      <c r="Y70" s="492"/>
      <c r="Z70" s="492"/>
      <c r="AA70" s="492"/>
      <c r="AB70" s="492"/>
      <c r="AC70" s="492"/>
      <c r="AD70" s="492"/>
      <c r="AE70" s="492"/>
      <c r="AF70" s="492"/>
      <c r="AG70" s="492"/>
      <c r="AH70" s="492"/>
      <c r="AI70" s="492"/>
      <c r="AJ70" s="492"/>
      <c r="AK70" s="492"/>
      <c r="AL70" s="492"/>
      <c r="AM70" s="492"/>
      <c r="AN70" s="492"/>
      <c r="AO70" s="492"/>
      <c r="AP70" s="492"/>
      <c r="AQ70" s="492"/>
      <c r="AR70" s="492"/>
      <c r="AS70" s="492"/>
      <c r="AT70" s="492"/>
      <c r="AU70" s="492"/>
      <c r="AV70" s="492"/>
      <c r="AW70" s="492"/>
      <c r="AX70" s="492"/>
      <c r="AY70" s="492"/>
      <c r="AZ70" s="492"/>
    </row>
    <row r="71" spans="1:52" x14ac:dyDescent="0.2">
      <c r="A71" s="492"/>
      <c r="B71" s="492"/>
      <c r="C71" s="492"/>
      <c r="D71" s="492"/>
      <c r="E71" s="492"/>
      <c r="F71" s="492"/>
      <c r="G71" s="492"/>
      <c r="H71" s="492"/>
      <c r="I71" s="492"/>
      <c r="J71" s="492"/>
      <c r="K71" s="492"/>
      <c r="L71" s="492"/>
      <c r="M71" s="492"/>
      <c r="N71" s="492"/>
      <c r="O71" s="492"/>
      <c r="P71" s="492"/>
      <c r="Q71" s="492"/>
      <c r="R71" s="492"/>
      <c r="S71" s="492"/>
      <c r="T71" s="492"/>
      <c r="U71" s="492"/>
      <c r="V71" s="492"/>
      <c r="W71" s="492"/>
      <c r="X71" s="492"/>
      <c r="Y71" s="492"/>
      <c r="Z71" s="492"/>
      <c r="AA71" s="492"/>
      <c r="AB71" s="492"/>
      <c r="AC71" s="492"/>
      <c r="AD71" s="492"/>
      <c r="AE71" s="492"/>
      <c r="AF71" s="492"/>
      <c r="AG71" s="492"/>
      <c r="AH71" s="492"/>
      <c r="AI71" s="492"/>
      <c r="AJ71" s="492"/>
      <c r="AK71" s="492"/>
      <c r="AL71" s="492"/>
      <c r="AM71" s="492"/>
      <c r="AN71" s="492"/>
      <c r="AO71" s="492"/>
      <c r="AP71" s="492"/>
      <c r="AQ71" s="492"/>
      <c r="AR71" s="492"/>
      <c r="AS71" s="492"/>
      <c r="AT71" s="492"/>
      <c r="AU71" s="492"/>
      <c r="AV71" s="492"/>
      <c r="AW71" s="492"/>
      <c r="AX71" s="492"/>
      <c r="AY71" s="492"/>
      <c r="AZ71" s="492"/>
    </row>
    <row r="72" spans="1:52" x14ac:dyDescent="0.2">
      <c r="A72" s="492"/>
      <c r="B72" s="492"/>
      <c r="C72" s="492"/>
      <c r="D72" s="492"/>
      <c r="E72" s="492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2"/>
      <c r="R72" s="492"/>
      <c r="S72" s="492"/>
      <c r="T72" s="492"/>
      <c r="U72" s="492"/>
      <c r="V72" s="492"/>
      <c r="W72" s="492"/>
      <c r="X72" s="492"/>
      <c r="Y72" s="492"/>
      <c r="Z72" s="492"/>
      <c r="AA72" s="492"/>
      <c r="AB72" s="492"/>
      <c r="AC72" s="492"/>
      <c r="AD72" s="492"/>
      <c r="AE72" s="492"/>
      <c r="AF72" s="492"/>
      <c r="AG72" s="492"/>
      <c r="AH72" s="492"/>
      <c r="AI72" s="492"/>
      <c r="AJ72" s="492"/>
      <c r="AK72" s="492"/>
      <c r="AL72" s="492"/>
      <c r="AM72" s="492"/>
      <c r="AN72" s="492"/>
      <c r="AO72" s="492"/>
      <c r="AP72" s="492"/>
      <c r="AQ72" s="492"/>
      <c r="AR72" s="492"/>
      <c r="AS72" s="492"/>
      <c r="AT72" s="492"/>
      <c r="AU72" s="492"/>
      <c r="AV72" s="492"/>
      <c r="AW72" s="492"/>
      <c r="AX72" s="492"/>
      <c r="AY72" s="492"/>
      <c r="AZ72" s="492"/>
    </row>
    <row r="73" spans="1:52" x14ac:dyDescent="0.2">
      <c r="A73" s="492"/>
      <c r="B73" s="492"/>
      <c r="C73" s="492"/>
      <c r="D73" s="492"/>
      <c r="E73" s="492"/>
      <c r="F73" s="492"/>
      <c r="G73" s="492"/>
      <c r="H73" s="492"/>
      <c r="I73" s="492"/>
      <c r="J73" s="492"/>
      <c r="K73" s="492"/>
      <c r="L73" s="492"/>
      <c r="M73" s="492"/>
      <c r="N73" s="492"/>
      <c r="O73" s="492"/>
      <c r="P73" s="492"/>
      <c r="Q73" s="492"/>
      <c r="R73" s="492"/>
      <c r="S73" s="492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  <c r="AD73" s="492"/>
      <c r="AE73" s="492"/>
      <c r="AF73" s="492"/>
      <c r="AG73" s="492"/>
      <c r="AH73" s="492"/>
      <c r="AI73" s="492"/>
      <c r="AJ73" s="492"/>
      <c r="AK73" s="492"/>
      <c r="AL73" s="492"/>
      <c r="AM73" s="492"/>
      <c r="AN73" s="492"/>
      <c r="AO73" s="492"/>
      <c r="AP73" s="492"/>
      <c r="AQ73" s="492"/>
      <c r="AR73" s="492"/>
      <c r="AS73" s="492"/>
      <c r="AT73" s="492"/>
      <c r="AU73" s="492"/>
      <c r="AV73" s="492"/>
      <c r="AW73" s="492"/>
      <c r="AX73" s="492"/>
      <c r="AY73" s="492"/>
      <c r="AZ73" s="492"/>
    </row>
    <row r="74" spans="1:52" x14ac:dyDescent="0.2">
      <c r="A74" s="492"/>
      <c r="B74" s="492"/>
      <c r="C74" s="492"/>
      <c r="D74" s="492"/>
      <c r="E74" s="492"/>
      <c r="F74" s="492"/>
      <c r="G74" s="492"/>
      <c r="H74" s="492"/>
      <c r="I74" s="492"/>
      <c r="J74" s="492"/>
      <c r="K74" s="492"/>
      <c r="L74" s="492"/>
      <c r="M74" s="492"/>
      <c r="N74" s="492"/>
      <c r="O74" s="492"/>
      <c r="P74" s="492"/>
      <c r="Q74" s="492"/>
      <c r="R74" s="492"/>
      <c r="S74" s="492"/>
      <c r="T74" s="492"/>
      <c r="U74" s="492"/>
      <c r="V74" s="492"/>
      <c r="W74" s="492"/>
      <c r="X74" s="492"/>
      <c r="Y74" s="492"/>
      <c r="Z74" s="492"/>
      <c r="AA74" s="492"/>
      <c r="AB74" s="492"/>
      <c r="AC74" s="492"/>
      <c r="AD74" s="492"/>
      <c r="AE74" s="492"/>
      <c r="AF74" s="492"/>
      <c r="AG74" s="492"/>
      <c r="AH74" s="492"/>
      <c r="AI74" s="492"/>
      <c r="AJ74" s="492"/>
      <c r="AK74" s="492"/>
      <c r="AL74" s="492"/>
      <c r="AM74" s="492"/>
      <c r="AN74" s="492"/>
      <c r="AO74" s="492"/>
      <c r="AP74" s="492"/>
      <c r="AQ74" s="492"/>
      <c r="AR74" s="492"/>
      <c r="AS74" s="492"/>
      <c r="AT74" s="492"/>
      <c r="AU74" s="492"/>
      <c r="AV74" s="492"/>
      <c r="AW74" s="492"/>
      <c r="AX74" s="492"/>
      <c r="AY74" s="492"/>
      <c r="AZ74" s="492"/>
    </row>
    <row r="75" spans="1:52" x14ac:dyDescent="0.2">
      <c r="A75" s="492"/>
      <c r="B75" s="492"/>
      <c r="C75" s="492"/>
      <c r="D75" s="492"/>
      <c r="E75" s="492"/>
      <c r="F75" s="492"/>
      <c r="G75" s="492"/>
      <c r="H75" s="492"/>
      <c r="I75" s="492"/>
      <c r="J75" s="492"/>
      <c r="K75" s="492"/>
      <c r="L75" s="492"/>
      <c r="M75" s="492"/>
      <c r="N75" s="492"/>
      <c r="O75" s="492"/>
      <c r="P75" s="492"/>
      <c r="Q75" s="492"/>
      <c r="R75" s="492"/>
      <c r="S75" s="492"/>
      <c r="T75" s="492"/>
      <c r="U75" s="492"/>
      <c r="V75" s="492"/>
      <c r="W75" s="492"/>
      <c r="X75" s="492"/>
      <c r="Y75" s="492"/>
      <c r="Z75" s="492"/>
      <c r="AA75" s="492"/>
      <c r="AB75" s="492"/>
      <c r="AC75" s="492"/>
      <c r="AD75" s="492"/>
      <c r="AE75" s="492"/>
      <c r="AF75" s="492"/>
      <c r="AG75" s="492"/>
      <c r="AH75" s="492"/>
      <c r="AI75" s="492"/>
      <c r="AJ75" s="492"/>
      <c r="AK75" s="492"/>
      <c r="AL75" s="492"/>
      <c r="AM75" s="492"/>
      <c r="AN75" s="492"/>
      <c r="AO75" s="492"/>
      <c r="AP75" s="492"/>
      <c r="AQ75" s="492"/>
      <c r="AR75" s="492"/>
      <c r="AS75" s="492"/>
      <c r="AT75" s="492"/>
      <c r="AU75" s="492"/>
      <c r="AV75" s="492"/>
      <c r="AW75" s="492"/>
      <c r="AX75" s="492"/>
      <c r="AY75" s="492"/>
      <c r="AZ75" s="492"/>
    </row>
    <row r="76" spans="1:52" x14ac:dyDescent="0.2">
      <c r="A76" s="492"/>
      <c r="B76" s="492"/>
      <c r="C76" s="492"/>
      <c r="D76" s="492"/>
      <c r="E76" s="492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2"/>
      <c r="R76" s="492"/>
      <c r="S76" s="492"/>
      <c r="T76" s="492"/>
      <c r="U76" s="492"/>
      <c r="V76" s="492"/>
      <c r="W76" s="492"/>
      <c r="X76" s="492"/>
      <c r="Y76" s="492"/>
      <c r="Z76" s="492"/>
      <c r="AA76" s="492"/>
      <c r="AB76" s="492"/>
      <c r="AC76" s="492"/>
      <c r="AD76" s="492"/>
      <c r="AE76" s="492"/>
      <c r="AF76" s="492"/>
      <c r="AG76" s="492"/>
      <c r="AH76" s="492"/>
      <c r="AI76" s="492"/>
      <c r="AJ76" s="492"/>
      <c r="AK76" s="492"/>
      <c r="AL76" s="492"/>
      <c r="AM76" s="492"/>
      <c r="AN76" s="492"/>
      <c r="AO76" s="492"/>
      <c r="AP76" s="492"/>
      <c r="AQ76" s="492"/>
      <c r="AR76" s="492"/>
      <c r="AS76" s="492"/>
      <c r="AT76" s="492"/>
      <c r="AU76" s="492"/>
      <c r="AV76" s="492"/>
      <c r="AW76" s="492"/>
      <c r="AX76" s="492"/>
      <c r="AY76" s="492"/>
      <c r="AZ76" s="492"/>
    </row>
    <row r="77" spans="1:52" x14ac:dyDescent="0.2">
      <c r="A77" s="492"/>
      <c r="B77" s="492"/>
      <c r="C77" s="492"/>
      <c r="D77" s="492"/>
      <c r="E77" s="492"/>
      <c r="F77" s="492"/>
      <c r="G77" s="492"/>
      <c r="H77" s="492"/>
      <c r="I77" s="492"/>
      <c r="J77" s="492"/>
      <c r="K77" s="492"/>
      <c r="L77" s="492"/>
      <c r="M77" s="492"/>
      <c r="N77" s="492"/>
      <c r="O77" s="492"/>
      <c r="P77" s="492"/>
      <c r="Q77" s="492"/>
      <c r="R77" s="492"/>
      <c r="S77" s="492"/>
      <c r="T77" s="492"/>
      <c r="U77" s="492"/>
      <c r="V77" s="492"/>
      <c r="W77" s="492"/>
      <c r="X77" s="492"/>
      <c r="Y77" s="492"/>
      <c r="Z77" s="492"/>
      <c r="AA77" s="492"/>
      <c r="AB77" s="492"/>
      <c r="AC77" s="492"/>
      <c r="AD77" s="492"/>
      <c r="AE77" s="492"/>
      <c r="AF77" s="492"/>
      <c r="AG77" s="492"/>
      <c r="AH77" s="492"/>
      <c r="AI77" s="492"/>
      <c r="AJ77" s="492"/>
      <c r="AK77" s="492"/>
      <c r="AL77" s="492"/>
      <c r="AM77" s="492"/>
      <c r="AN77" s="492"/>
      <c r="AO77" s="492"/>
      <c r="AP77" s="492"/>
      <c r="AQ77" s="492"/>
      <c r="AR77" s="492"/>
      <c r="AS77" s="492"/>
      <c r="AT77" s="492"/>
      <c r="AU77" s="492"/>
      <c r="AV77" s="492"/>
      <c r="AW77" s="492"/>
      <c r="AX77" s="492"/>
      <c r="AY77" s="492"/>
      <c r="AZ77" s="492"/>
    </row>
    <row r="78" spans="1:52" x14ac:dyDescent="0.2">
      <c r="A78" s="492"/>
      <c r="B78" s="492"/>
      <c r="C78" s="492"/>
      <c r="D78" s="492"/>
      <c r="E78" s="492"/>
      <c r="F78" s="492"/>
      <c r="G78" s="492"/>
      <c r="H78" s="492"/>
      <c r="I78" s="492"/>
      <c r="J78" s="492"/>
      <c r="K78" s="492"/>
      <c r="L78" s="492"/>
      <c r="M78" s="492"/>
      <c r="N78" s="492"/>
      <c r="O78" s="492"/>
      <c r="P78" s="492"/>
      <c r="Q78" s="492"/>
      <c r="R78" s="492"/>
      <c r="S78" s="492"/>
      <c r="T78" s="492"/>
      <c r="U78" s="492"/>
      <c r="V78" s="492"/>
      <c r="W78" s="492"/>
      <c r="X78" s="492"/>
      <c r="Y78" s="492"/>
      <c r="Z78" s="492"/>
      <c r="AA78" s="492"/>
      <c r="AB78" s="492"/>
      <c r="AC78" s="492"/>
      <c r="AD78" s="492"/>
      <c r="AE78" s="492"/>
      <c r="AF78" s="492"/>
      <c r="AG78" s="492"/>
      <c r="AH78" s="492"/>
      <c r="AI78" s="492"/>
      <c r="AJ78" s="492"/>
      <c r="AK78" s="492"/>
      <c r="AL78" s="492"/>
      <c r="AM78" s="492"/>
      <c r="AN78" s="492"/>
      <c r="AO78" s="492"/>
      <c r="AP78" s="492"/>
      <c r="AQ78" s="492"/>
      <c r="AR78" s="492"/>
      <c r="AS78" s="492"/>
      <c r="AT78" s="492"/>
      <c r="AU78" s="492"/>
      <c r="AV78" s="492"/>
      <c r="AW78" s="492"/>
      <c r="AX78" s="492"/>
      <c r="AY78" s="492"/>
      <c r="AZ78" s="492"/>
    </row>
    <row r="79" spans="1:52" x14ac:dyDescent="0.2">
      <c r="A79" s="492"/>
      <c r="B79" s="492"/>
      <c r="C79" s="492"/>
      <c r="D79" s="492"/>
      <c r="E79" s="492"/>
      <c r="F79" s="492"/>
      <c r="G79" s="492"/>
      <c r="H79" s="492"/>
      <c r="I79" s="492"/>
      <c r="J79" s="492"/>
      <c r="K79" s="492"/>
      <c r="L79" s="492"/>
      <c r="M79" s="492"/>
      <c r="N79" s="492"/>
      <c r="O79" s="492"/>
      <c r="P79" s="492"/>
      <c r="Q79" s="492"/>
      <c r="R79" s="492"/>
      <c r="S79" s="492"/>
      <c r="T79" s="492"/>
      <c r="U79" s="492"/>
      <c r="V79" s="492"/>
      <c r="W79" s="492"/>
      <c r="X79" s="492"/>
      <c r="Y79" s="492"/>
      <c r="Z79" s="492"/>
      <c r="AA79" s="492"/>
      <c r="AB79" s="492"/>
      <c r="AC79" s="492"/>
      <c r="AD79" s="492"/>
      <c r="AE79" s="492"/>
      <c r="AF79" s="492"/>
      <c r="AG79" s="492"/>
      <c r="AH79" s="492"/>
      <c r="AI79" s="492"/>
      <c r="AJ79" s="492"/>
      <c r="AK79" s="492"/>
      <c r="AL79" s="492"/>
      <c r="AM79" s="492"/>
      <c r="AN79" s="492"/>
      <c r="AO79" s="492"/>
      <c r="AP79" s="492"/>
      <c r="AQ79" s="492"/>
      <c r="AR79" s="492"/>
      <c r="AS79" s="492"/>
      <c r="AT79" s="492"/>
      <c r="AU79" s="492"/>
      <c r="AV79" s="492"/>
      <c r="AW79" s="492"/>
      <c r="AX79" s="492"/>
      <c r="AY79" s="492"/>
      <c r="AZ79" s="492"/>
    </row>
    <row r="80" spans="1:52" x14ac:dyDescent="0.2">
      <c r="A80" s="492"/>
      <c r="B80" s="492"/>
      <c r="C80" s="492"/>
      <c r="D80" s="492"/>
      <c r="E80" s="492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2"/>
      <c r="R80" s="492"/>
      <c r="S80" s="492"/>
      <c r="T80" s="492"/>
      <c r="U80" s="492"/>
      <c r="V80" s="492"/>
      <c r="W80" s="492"/>
      <c r="X80" s="492"/>
      <c r="Y80" s="492"/>
      <c r="Z80" s="492"/>
      <c r="AA80" s="492"/>
      <c r="AB80" s="492"/>
      <c r="AC80" s="492"/>
      <c r="AD80" s="492"/>
      <c r="AE80" s="492"/>
      <c r="AF80" s="492"/>
      <c r="AG80" s="492"/>
      <c r="AH80" s="492"/>
      <c r="AI80" s="492"/>
      <c r="AJ80" s="492"/>
      <c r="AK80" s="492"/>
      <c r="AL80" s="492"/>
      <c r="AM80" s="492"/>
      <c r="AN80" s="492"/>
      <c r="AO80" s="492"/>
      <c r="AP80" s="492"/>
      <c r="AQ80" s="492"/>
      <c r="AR80" s="492"/>
      <c r="AS80" s="492"/>
      <c r="AT80" s="492"/>
      <c r="AU80" s="492"/>
      <c r="AV80" s="492"/>
      <c r="AW80" s="492"/>
      <c r="AX80" s="492"/>
      <c r="AY80" s="492"/>
      <c r="AZ80" s="492"/>
    </row>
    <row r="81" spans="1:52" x14ac:dyDescent="0.2">
      <c r="A81" s="492"/>
      <c r="B81" s="492"/>
      <c r="C81" s="492"/>
      <c r="D81" s="492"/>
      <c r="E81" s="492"/>
      <c r="F81" s="492"/>
      <c r="G81" s="492"/>
      <c r="H81" s="492"/>
      <c r="I81" s="492"/>
      <c r="J81" s="492"/>
      <c r="K81" s="492"/>
      <c r="L81" s="492"/>
      <c r="M81" s="492"/>
      <c r="N81" s="492"/>
      <c r="O81" s="492"/>
      <c r="P81" s="492"/>
      <c r="Q81" s="492"/>
      <c r="R81" s="492"/>
      <c r="S81" s="492"/>
      <c r="T81" s="492"/>
      <c r="U81" s="492"/>
      <c r="V81" s="492"/>
      <c r="W81" s="492"/>
      <c r="X81" s="492"/>
      <c r="Y81" s="492"/>
      <c r="Z81" s="492"/>
      <c r="AA81" s="492"/>
      <c r="AB81" s="492"/>
      <c r="AC81" s="492"/>
      <c r="AD81" s="492"/>
      <c r="AE81" s="492"/>
      <c r="AF81" s="492"/>
      <c r="AG81" s="492"/>
      <c r="AH81" s="492"/>
      <c r="AI81" s="492"/>
      <c r="AJ81" s="492"/>
      <c r="AK81" s="492"/>
      <c r="AL81" s="492"/>
      <c r="AM81" s="492"/>
      <c r="AN81" s="492"/>
      <c r="AO81" s="492"/>
      <c r="AP81" s="492"/>
      <c r="AQ81" s="492"/>
      <c r="AR81" s="492"/>
      <c r="AS81" s="492"/>
      <c r="AT81" s="492"/>
      <c r="AU81" s="492"/>
      <c r="AV81" s="492"/>
      <c r="AW81" s="492"/>
      <c r="AX81" s="492"/>
      <c r="AY81" s="492"/>
      <c r="AZ81" s="492"/>
    </row>
    <row r="82" spans="1:52" x14ac:dyDescent="0.2">
      <c r="A82" s="492"/>
      <c r="B82" s="492"/>
      <c r="C82" s="492"/>
      <c r="D82" s="492"/>
      <c r="E82" s="492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2"/>
      <c r="R82" s="492"/>
      <c r="S82" s="492"/>
      <c r="T82" s="492"/>
      <c r="U82" s="492"/>
      <c r="V82" s="492"/>
      <c r="W82" s="492"/>
      <c r="X82" s="492"/>
      <c r="Y82" s="492"/>
      <c r="Z82" s="492"/>
      <c r="AA82" s="492"/>
      <c r="AB82" s="492"/>
      <c r="AC82" s="492"/>
      <c r="AD82" s="492"/>
      <c r="AE82" s="492"/>
      <c r="AF82" s="492"/>
      <c r="AG82" s="492"/>
      <c r="AH82" s="492"/>
      <c r="AI82" s="492"/>
      <c r="AJ82" s="492"/>
      <c r="AK82" s="492"/>
      <c r="AL82" s="492"/>
      <c r="AM82" s="492"/>
      <c r="AN82" s="492"/>
      <c r="AO82" s="492"/>
      <c r="AP82" s="492"/>
      <c r="AQ82" s="492"/>
      <c r="AR82" s="492"/>
      <c r="AS82" s="492"/>
      <c r="AT82" s="492"/>
      <c r="AU82" s="492"/>
      <c r="AV82" s="492"/>
      <c r="AW82" s="492"/>
      <c r="AX82" s="492"/>
      <c r="AY82" s="492"/>
      <c r="AZ82" s="492"/>
    </row>
    <row r="83" spans="1:52" x14ac:dyDescent="0.2">
      <c r="A83" s="492"/>
      <c r="B83" s="492"/>
      <c r="C83" s="492"/>
      <c r="D83" s="492"/>
      <c r="E83" s="492"/>
      <c r="F83" s="492"/>
      <c r="G83" s="492"/>
      <c r="H83" s="492"/>
      <c r="I83" s="492"/>
      <c r="J83" s="492"/>
      <c r="K83" s="492"/>
      <c r="L83" s="492"/>
      <c r="M83" s="492"/>
      <c r="N83" s="492"/>
      <c r="O83" s="492"/>
      <c r="P83" s="492"/>
      <c r="Q83" s="492"/>
      <c r="R83" s="492"/>
      <c r="S83" s="492"/>
      <c r="T83" s="492"/>
      <c r="U83" s="492"/>
      <c r="V83" s="492"/>
      <c r="W83" s="492"/>
      <c r="X83" s="492"/>
      <c r="Y83" s="492"/>
      <c r="Z83" s="492"/>
      <c r="AA83" s="492"/>
      <c r="AB83" s="492"/>
      <c r="AC83" s="492"/>
      <c r="AD83" s="492"/>
      <c r="AE83" s="492"/>
      <c r="AF83" s="492"/>
      <c r="AG83" s="492"/>
      <c r="AH83" s="492"/>
      <c r="AI83" s="492"/>
      <c r="AJ83" s="492"/>
      <c r="AK83" s="492"/>
      <c r="AL83" s="492"/>
      <c r="AM83" s="492"/>
      <c r="AN83" s="492"/>
      <c r="AO83" s="492"/>
      <c r="AP83" s="492"/>
      <c r="AQ83" s="492"/>
      <c r="AR83" s="492"/>
      <c r="AS83" s="492"/>
      <c r="AT83" s="492"/>
      <c r="AU83" s="492"/>
      <c r="AV83" s="492"/>
      <c r="AW83" s="492"/>
      <c r="AX83" s="492"/>
      <c r="AY83" s="492"/>
      <c r="AZ83" s="492"/>
    </row>
    <row r="84" spans="1:52" x14ac:dyDescent="0.2">
      <c r="A84" s="492"/>
      <c r="B84" s="492"/>
      <c r="C84" s="492"/>
      <c r="D84" s="492"/>
      <c r="E84" s="492"/>
      <c r="F84" s="492"/>
      <c r="G84" s="492"/>
      <c r="H84" s="492"/>
      <c r="I84" s="492"/>
      <c r="J84" s="492"/>
      <c r="K84" s="492"/>
      <c r="L84" s="492"/>
      <c r="M84" s="492"/>
      <c r="N84" s="492"/>
      <c r="O84" s="492"/>
      <c r="P84" s="492"/>
      <c r="Q84" s="492"/>
      <c r="R84" s="492"/>
      <c r="S84" s="492"/>
      <c r="T84" s="492"/>
      <c r="U84" s="492"/>
      <c r="V84" s="492"/>
      <c r="W84" s="492"/>
      <c r="X84" s="492"/>
      <c r="Y84" s="492"/>
      <c r="Z84" s="492"/>
      <c r="AA84" s="492"/>
      <c r="AB84" s="492"/>
      <c r="AC84" s="492"/>
      <c r="AD84" s="492"/>
      <c r="AE84" s="492"/>
      <c r="AF84" s="492"/>
      <c r="AG84" s="492"/>
      <c r="AH84" s="492"/>
      <c r="AI84" s="492"/>
      <c r="AJ84" s="492"/>
      <c r="AK84" s="492"/>
      <c r="AL84" s="492"/>
      <c r="AM84" s="492"/>
      <c r="AN84" s="492"/>
      <c r="AO84" s="492"/>
      <c r="AP84" s="492"/>
      <c r="AQ84" s="492"/>
      <c r="AR84" s="492"/>
      <c r="AS84" s="492"/>
      <c r="AT84" s="492"/>
      <c r="AU84" s="492"/>
      <c r="AV84" s="492"/>
      <c r="AW84" s="492"/>
      <c r="AX84" s="492"/>
      <c r="AY84" s="492"/>
      <c r="AZ84" s="492"/>
    </row>
    <row r="85" spans="1:52" x14ac:dyDescent="0.2">
      <c r="A85" s="492"/>
      <c r="B85" s="492"/>
      <c r="C85" s="492"/>
      <c r="D85" s="492"/>
      <c r="E85" s="492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2"/>
      <c r="R85" s="492"/>
      <c r="S85" s="492"/>
      <c r="T85" s="492"/>
      <c r="U85" s="492"/>
      <c r="V85" s="492"/>
      <c r="W85" s="492"/>
      <c r="X85" s="492"/>
      <c r="Y85" s="492"/>
      <c r="Z85" s="492"/>
      <c r="AA85" s="492"/>
      <c r="AB85" s="492"/>
      <c r="AC85" s="492"/>
      <c r="AD85" s="492"/>
      <c r="AE85" s="492"/>
      <c r="AF85" s="492"/>
      <c r="AG85" s="492"/>
      <c r="AH85" s="492"/>
      <c r="AI85" s="492"/>
      <c r="AJ85" s="492"/>
      <c r="AK85" s="492"/>
      <c r="AL85" s="492"/>
      <c r="AM85" s="492"/>
      <c r="AN85" s="492"/>
      <c r="AO85" s="492"/>
      <c r="AP85" s="492"/>
      <c r="AQ85" s="492"/>
      <c r="AR85" s="492"/>
      <c r="AS85" s="492"/>
      <c r="AT85" s="492"/>
      <c r="AU85" s="492"/>
      <c r="AV85" s="492"/>
      <c r="AW85" s="492"/>
      <c r="AX85" s="492"/>
      <c r="AY85" s="492"/>
      <c r="AZ85" s="492"/>
    </row>
    <row r="86" spans="1:52" x14ac:dyDescent="0.2">
      <c r="A86" s="492"/>
      <c r="B86" s="492"/>
      <c r="C86" s="492"/>
      <c r="D86" s="492"/>
      <c r="E86" s="492"/>
      <c r="F86" s="492"/>
      <c r="G86" s="492"/>
      <c r="H86" s="492"/>
      <c r="I86" s="492"/>
      <c r="J86" s="492"/>
      <c r="K86" s="492"/>
      <c r="L86" s="492"/>
      <c r="M86" s="492"/>
      <c r="N86" s="492"/>
      <c r="O86" s="492"/>
      <c r="P86" s="492"/>
      <c r="Q86" s="492"/>
      <c r="R86" s="492"/>
      <c r="S86" s="492"/>
      <c r="T86" s="492"/>
      <c r="U86" s="492"/>
      <c r="V86" s="492"/>
      <c r="W86" s="492"/>
      <c r="X86" s="492"/>
      <c r="Y86" s="492"/>
      <c r="Z86" s="492"/>
      <c r="AA86" s="492"/>
      <c r="AB86" s="492"/>
      <c r="AC86" s="492"/>
      <c r="AD86" s="492"/>
      <c r="AE86" s="492"/>
      <c r="AF86" s="492"/>
      <c r="AG86" s="492"/>
      <c r="AH86" s="492"/>
      <c r="AI86" s="492"/>
      <c r="AJ86" s="492"/>
      <c r="AK86" s="492"/>
      <c r="AL86" s="492"/>
      <c r="AM86" s="492"/>
      <c r="AN86" s="492"/>
      <c r="AO86" s="492"/>
      <c r="AP86" s="492"/>
      <c r="AQ86" s="492"/>
      <c r="AR86" s="492"/>
      <c r="AS86" s="492"/>
      <c r="AT86" s="492"/>
      <c r="AU86" s="492"/>
      <c r="AV86" s="492"/>
      <c r="AW86" s="492"/>
      <c r="AX86" s="492"/>
      <c r="AY86" s="492"/>
      <c r="AZ86" s="492"/>
    </row>
    <row r="87" spans="1:52" x14ac:dyDescent="0.2">
      <c r="A87" s="492"/>
      <c r="B87" s="492"/>
      <c r="C87" s="492"/>
      <c r="D87" s="492"/>
      <c r="E87" s="492"/>
      <c r="F87" s="492"/>
      <c r="G87" s="492"/>
      <c r="H87" s="492"/>
      <c r="I87" s="492"/>
      <c r="J87" s="492"/>
      <c r="K87" s="492"/>
      <c r="L87" s="492"/>
      <c r="M87" s="492"/>
      <c r="N87" s="492"/>
      <c r="O87" s="492"/>
      <c r="P87" s="492"/>
      <c r="Q87" s="492"/>
      <c r="R87" s="492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492"/>
      <c r="AE87" s="492"/>
      <c r="AF87" s="492"/>
      <c r="AG87" s="492"/>
      <c r="AH87" s="492"/>
      <c r="AI87" s="492"/>
      <c r="AJ87" s="492"/>
      <c r="AK87" s="492"/>
      <c r="AL87" s="492"/>
      <c r="AM87" s="492"/>
      <c r="AN87" s="492"/>
      <c r="AO87" s="492"/>
      <c r="AP87" s="492"/>
      <c r="AQ87" s="492"/>
      <c r="AR87" s="492"/>
      <c r="AS87" s="492"/>
      <c r="AT87" s="492"/>
      <c r="AU87" s="492"/>
      <c r="AV87" s="492"/>
      <c r="AW87" s="492"/>
      <c r="AX87" s="492"/>
      <c r="AY87" s="492"/>
      <c r="AZ87" s="492"/>
    </row>
    <row r="88" spans="1:52" x14ac:dyDescent="0.2">
      <c r="A88" s="492"/>
      <c r="B88" s="492"/>
      <c r="C88" s="492"/>
      <c r="D88" s="492"/>
      <c r="E88" s="492"/>
      <c r="F88" s="492"/>
      <c r="G88" s="492"/>
      <c r="H88" s="492"/>
      <c r="I88" s="492"/>
      <c r="J88" s="492"/>
      <c r="K88" s="492"/>
      <c r="L88" s="492"/>
      <c r="M88" s="492"/>
      <c r="N88" s="492"/>
      <c r="O88" s="492"/>
      <c r="P88" s="492"/>
      <c r="Q88" s="492"/>
      <c r="R88" s="492"/>
      <c r="S88" s="492"/>
      <c r="T88" s="492"/>
      <c r="U88" s="492"/>
      <c r="V88" s="492"/>
      <c r="W88" s="492"/>
      <c r="X88" s="492"/>
      <c r="Y88" s="492"/>
      <c r="Z88" s="492"/>
      <c r="AA88" s="492"/>
      <c r="AB88" s="492"/>
      <c r="AC88" s="492"/>
      <c r="AD88" s="492"/>
      <c r="AE88" s="492"/>
      <c r="AF88" s="492"/>
      <c r="AG88" s="492"/>
      <c r="AH88" s="492"/>
      <c r="AI88" s="492"/>
      <c r="AJ88" s="492"/>
      <c r="AK88" s="492"/>
      <c r="AL88" s="492"/>
      <c r="AM88" s="492"/>
      <c r="AN88" s="492"/>
      <c r="AO88" s="492"/>
      <c r="AP88" s="492"/>
      <c r="AQ88" s="492"/>
      <c r="AR88" s="492"/>
      <c r="AS88" s="492"/>
      <c r="AT88" s="492"/>
      <c r="AU88" s="492"/>
      <c r="AV88" s="492"/>
      <c r="AW88" s="492"/>
      <c r="AX88" s="492"/>
      <c r="AY88" s="492"/>
      <c r="AZ88" s="492"/>
    </row>
    <row r="89" spans="1:52" x14ac:dyDescent="0.2">
      <c r="A89" s="492"/>
      <c r="B89" s="492"/>
      <c r="C89" s="492"/>
      <c r="D89" s="492"/>
      <c r="E89" s="492"/>
      <c r="F89" s="492"/>
      <c r="G89" s="492"/>
      <c r="H89" s="492"/>
      <c r="I89" s="492"/>
      <c r="J89" s="492"/>
      <c r="K89" s="492"/>
      <c r="L89" s="492"/>
      <c r="M89" s="492"/>
      <c r="N89" s="492"/>
      <c r="O89" s="492"/>
      <c r="P89" s="492"/>
      <c r="Q89" s="492"/>
      <c r="R89" s="492"/>
      <c r="S89" s="492"/>
      <c r="T89" s="492"/>
      <c r="U89" s="492"/>
      <c r="V89" s="492"/>
      <c r="W89" s="492"/>
      <c r="X89" s="492"/>
      <c r="Y89" s="492"/>
      <c r="Z89" s="492"/>
      <c r="AA89" s="492"/>
      <c r="AB89" s="492"/>
      <c r="AC89" s="492"/>
      <c r="AD89" s="492"/>
      <c r="AE89" s="492"/>
      <c r="AF89" s="492"/>
      <c r="AG89" s="492"/>
      <c r="AH89" s="492"/>
      <c r="AI89" s="492"/>
      <c r="AJ89" s="492"/>
      <c r="AK89" s="492"/>
      <c r="AL89" s="492"/>
      <c r="AM89" s="492"/>
      <c r="AN89" s="492"/>
      <c r="AO89" s="492"/>
      <c r="AP89" s="492"/>
      <c r="AQ89" s="492"/>
      <c r="AR89" s="492"/>
      <c r="AS89" s="492"/>
      <c r="AT89" s="492"/>
      <c r="AU89" s="492"/>
      <c r="AV89" s="492"/>
      <c r="AW89" s="492"/>
      <c r="AX89" s="492"/>
      <c r="AY89" s="492"/>
      <c r="AZ89" s="492"/>
    </row>
    <row r="90" spans="1:52" x14ac:dyDescent="0.2">
      <c r="A90" s="492"/>
      <c r="B90" s="492"/>
      <c r="C90" s="492"/>
      <c r="D90" s="492"/>
      <c r="E90" s="492"/>
      <c r="F90" s="492"/>
      <c r="G90" s="492"/>
      <c r="H90" s="492"/>
      <c r="I90" s="492"/>
      <c r="J90" s="492"/>
      <c r="K90" s="492"/>
      <c r="L90" s="492"/>
      <c r="M90" s="492"/>
      <c r="N90" s="492"/>
      <c r="O90" s="492"/>
      <c r="P90" s="492"/>
      <c r="Q90" s="492"/>
      <c r="R90" s="492"/>
      <c r="S90" s="492"/>
      <c r="T90" s="492"/>
      <c r="U90" s="492"/>
      <c r="V90" s="492"/>
      <c r="W90" s="492"/>
      <c r="X90" s="492"/>
      <c r="Y90" s="492"/>
      <c r="Z90" s="492"/>
      <c r="AA90" s="492"/>
      <c r="AB90" s="492"/>
      <c r="AC90" s="492"/>
      <c r="AD90" s="492"/>
      <c r="AE90" s="492"/>
      <c r="AF90" s="492"/>
      <c r="AG90" s="492"/>
      <c r="AH90" s="492"/>
      <c r="AI90" s="492"/>
      <c r="AJ90" s="492"/>
      <c r="AK90" s="492"/>
      <c r="AL90" s="492"/>
      <c r="AM90" s="492"/>
      <c r="AN90" s="492"/>
      <c r="AO90" s="492"/>
      <c r="AP90" s="492"/>
      <c r="AQ90" s="492"/>
      <c r="AR90" s="492"/>
      <c r="AS90" s="492"/>
      <c r="AT90" s="492"/>
      <c r="AU90" s="492"/>
      <c r="AV90" s="492"/>
      <c r="AW90" s="492"/>
      <c r="AX90" s="492"/>
      <c r="AY90" s="492"/>
      <c r="AZ90" s="492"/>
    </row>
    <row r="91" spans="1:52" x14ac:dyDescent="0.2">
      <c r="A91" s="492"/>
      <c r="B91" s="492"/>
      <c r="C91" s="492"/>
      <c r="D91" s="492"/>
      <c r="E91" s="492"/>
      <c r="F91" s="492"/>
      <c r="G91" s="492"/>
      <c r="H91" s="492"/>
      <c r="I91" s="492"/>
      <c r="J91" s="492"/>
      <c r="K91" s="492"/>
      <c r="L91" s="492"/>
      <c r="M91" s="492"/>
      <c r="N91" s="492"/>
      <c r="O91" s="492"/>
      <c r="P91" s="492"/>
      <c r="Q91" s="492"/>
      <c r="R91" s="492"/>
      <c r="S91" s="492"/>
      <c r="T91" s="492"/>
      <c r="U91" s="492"/>
      <c r="V91" s="492"/>
      <c r="W91" s="492"/>
      <c r="X91" s="492"/>
      <c r="Y91" s="492"/>
      <c r="Z91" s="492"/>
      <c r="AA91" s="492"/>
      <c r="AB91" s="492"/>
      <c r="AC91" s="492"/>
      <c r="AD91" s="492"/>
      <c r="AE91" s="492"/>
      <c r="AF91" s="492"/>
      <c r="AG91" s="492"/>
      <c r="AH91" s="492"/>
      <c r="AI91" s="492"/>
      <c r="AJ91" s="492"/>
      <c r="AK91" s="492"/>
      <c r="AL91" s="492"/>
      <c r="AM91" s="492"/>
      <c r="AN91" s="492"/>
      <c r="AO91" s="492"/>
      <c r="AP91" s="492"/>
      <c r="AQ91" s="492"/>
      <c r="AR91" s="492"/>
      <c r="AS91" s="492"/>
      <c r="AT91" s="492"/>
      <c r="AU91" s="492"/>
      <c r="AV91" s="492"/>
      <c r="AW91" s="492"/>
      <c r="AX91" s="492"/>
      <c r="AY91" s="492"/>
      <c r="AZ91" s="492"/>
    </row>
    <row r="92" spans="1:52" x14ac:dyDescent="0.2">
      <c r="A92" s="492"/>
      <c r="B92" s="492"/>
      <c r="C92" s="492"/>
      <c r="D92" s="492"/>
      <c r="E92" s="492"/>
      <c r="F92" s="492"/>
      <c r="G92" s="492"/>
      <c r="H92" s="492"/>
      <c r="I92" s="492"/>
      <c r="J92" s="492"/>
      <c r="K92" s="492"/>
      <c r="L92" s="492"/>
      <c r="M92" s="492"/>
      <c r="N92" s="492"/>
      <c r="O92" s="492"/>
      <c r="P92" s="492"/>
      <c r="Q92" s="492"/>
      <c r="R92" s="492"/>
      <c r="S92" s="492"/>
      <c r="T92" s="492"/>
      <c r="U92" s="492"/>
      <c r="V92" s="492"/>
      <c r="W92" s="492"/>
      <c r="X92" s="492"/>
      <c r="Y92" s="492"/>
      <c r="Z92" s="492"/>
      <c r="AA92" s="492"/>
      <c r="AB92" s="492"/>
      <c r="AC92" s="492"/>
      <c r="AD92" s="492"/>
      <c r="AE92" s="492"/>
      <c r="AF92" s="492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92"/>
      <c r="AU92" s="492"/>
      <c r="AV92" s="492"/>
      <c r="AW92" s="492"/>
      <c r="AX92" s="492"/>
      <c r="AY92" s="492"/>
      <c r="AZ92" s="492"/>
    </row>
    <row r="93" spans="1:52" x14ac:dyDescent="0.2">
      <c r="A93" s="492"/>
      <c r="B93" s="492"/>
      <c r="C93" s="492"/>
      <c r="D93" s="492"/>
      <c r="E93" s="492"/>
      <c r="F93" s="492"/>
      <c r="G93" s="492"/>
      <c r="H93" s="492"/>
      <c r="I93" s="492"/>
      <c r="J93" s="492"/>
      <c r="K93" s="492"/>
      <c r="L93" s="492"/>
      <c r="M93" s="492"/>
      <c r="N93" s="492"/>
      <c r="O93" s="492"/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492"/>
      <c r="AA93" s="492"/>
      <c r="AB93" s="492"/>
      <c r="AC93" s="492"/>
      <c r="AD93" s="492"/>
      <c r="AE93" s="492"/>
      <c r="AF93" s="492"/>
      <c r="AG93" s="492"/>
      <c r="AH93" s="492"/>
      <c r="AI93" s="492"/>
      <c r="AJ93" s="492"/>
      <c r="AK93" s="492"/>
      <c r="AL93" s="492"/>
      <c r="AM93" s="492"/>
      <c r="AN93" s="492"/>
      <c r="AO93" s="492"/>
      <c r="AP93" s="492"/>
      <c r="AQ93" s="492"/>
      <c r="AR93" s="492"/>
      <c r="AS93" s="492"/>
      <c r="AT93" s="492"/>
      <c r="AU93" s="492"/>
      <c r="AV93" s="492"/>
      <c r="AW93" s="492"/>
      <c r="AX93" s="492"/>
      <c r="AY93" s="492"/>
      <c r="AZ93" s="492"/>
    </row>
    <row r="94" spans="1:52" x14ac:dyDescent="0.2">
      <c r="A94" s="492"/>
      <c r="B94" s="492"/>
      <c r="C94" s="492"/>
      <c r="D94" s="492"/>
      <c r="E94" s="492"/>
      <c r="F94" s="492"/>
      <c r="G94" s="492"/>
      <c r="H94" s="492"/>
      <c r="I94" s="492"/>
      <c r="J94" s="492"/>
      <c r="K94" s="492"/>
      <c r="L94" s="492"/>
      <c r="M94" s="492"/>
      <c r="N94" s="492"/>
      <c r="O94" s="492"/>
      <c r="P94" s="492"/>
      <c r="Q94" s="492"/>
      <c r="R94" s="492"/>
      <c r="S94" s="492"/>
      <c r="T94" s="492"/>
      <c r="U94" s="492"/>
      <c r="V94" s="492"/>
      <c r="W94" s="492"/>
      <c r="X94" s="492"/>
      <c r="Y94" s="492"/>
      <c r="Z94" s="492"/>
      <c r="AA94" s="492"/>
      <c r="AB94" s="492"/>
      <c r="AC94" s="492"/>
      <c r="AD94" s="492"/>
      <c r="AE94" s="492"/>
      <c r="AF94" s="492"/>
      <c r="AG94" s="492"/>
      <c r="AH94" s="492"/>
      <c r="AI94" s="492"/>
      <c r="AJ94" s="492"/>
      <c r="AK94" s="492"/>
      <c r="AL94" s="492"/>
      <c r="AM94" s="492"/>
      <c r="AN94" s="492"/>
      <c r="AO94" s="492"/>
      <c r="AP94" s="492"/>
      <c r="AQ94" s="492"/>
      <c r="AR94" s="492"/>
      <c r="AS94" s="492"/>
      <c r="AT94" s="492"/>
      <c r="AU94" s="492"/>
      <c r="AV94" s="492"/>
      <c r="AW94" s="492"/>
      <c r="AX94" s="492"/>
      <c r="AY94" s="492"/>
      <c r="AZ94" s="492"/>
    </row>
    <row r="95" spans="1:52" x14ac:dyDescent="0.2">
      <c r="A95" s="492"/>
      <c r="B95" s="492"/>
      <c r="C95" s="492"/>
      <c r="D95" s="492"/>
      <c r="E95" s="492"/>
      <c r="F95" s="492"/>
      <c r="G95" s="492"/>
      <c r="H95" s="492"/>
      <c r="I95" s="492"/>
      <c r="J95" s="492"/>
      <c r="K95" s="492"/>
      <c r="L95" s="492"/>
      <c r="M95" s="492"/>
      <c r="N95" s="492"/>
      <c r="O95" s="492"/>
      <c r="P95" s="492"/>
      <c r="Q95" s="492"/>
      <c r="R95" s="492"/>
      <c r="S95" s="492"/>
      <c r="T95" s="492"/>
      <c r="U95" s="492"/>
      <c r="V95" s="492"/>
      <c r="W95" s="492"/>
      <c r="X95" s="492"/>
      <c r="Y95" s="492"/>
      <c r="Z95" s="492"/>
      <c r="AA95" s="492"/>
      <c r="AB95" s="492"/>
      <c r="AC95" s="492"/>
      <c r="AD95" s="492"/>
      <c r="AE95" s="492"/>
      <c r="AF95" s="492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92"/>
      <c r="AU95" s="492"/>
      <c r="AV95" s="492"/>
      <c r="AW95" s="492"/>
      <c r="AX95" s="492"/>
      <c r="AY95" s="492"/>
      <c r="AZ95" s="492"/>
    </row>
    <row r="96" spans="1:52" x14ac:dyDescent="0.2">
      <c r="A96" s="492"/>
      <c r="B96" s="492"/>
      <c r="C96" s="492"/>
      <c r="D96" s="492"/>
      <c r="E96" s="492"/>
      <c r="F96" s="492"/>
      <c r="G96" s="492"/>
      <c r="H96" s="492"/>
      <c r="I96" s="492"/>
      <c r="J96" s="492"/>
      <c r="K96" s="492"/>
      <c r="L96" s="492"/>
      <c r="M96" s="492"/>
      <c r="N96" s="492"/>
      <c r="O96" s="492"/>
      <c r="P96" s="492"/>
      <c r="Q96" s="492"/>
      <c r="R96" s="492"/>
      <c r="S96" s="492"/>
      <c r="T96" s="492"/>
      <c r="U96" s="492"/>
      <c r="V96" s="492"/>
      <c r="W96" s="492"/>
      <c r="X96" s="492"/>
      <c r="Y96" s="492"/>
      <c r="Z96" s="492"/>
      <c r="AA96" s="492"/>
      <c r="AB96" s="492"/>
      <c r="AC96" s="492"/>
      <c r="AD96" s="492"/>
      <c r="AE96" s="492"/>
      <c r="AF96" s="492"/>
      <c r="AG96" s="492"/>
      <c r="AH96" s="492"/>
      <c r="AI96" s="492"/>
      <c r="AJ96" s="492"/>
      <c r="AK96" s="492"/>
      <c r="AL96" s="492"/>
      <c r="AM96" s="492"/>
      <c r="AN96" s="492"/>
      <c r="AO96" s="492"/>
      <c r="AP96" s="492"/>
      <c r="AQ96" s="492"/>
      <c r="AR96" s="492"/>
      <c r="AS96" s="492"/>
      <c r="AT96" s="492"/>
      <c r="AU96" s="492"/>
      <c r="AV96" s="492"/>
      <c r="AW96" s="492"/>
      <c r="AX96" s="492"/>
      <c r="AY96" s="492"/>
      <c r="AZ96" s="492"/>
    </row>
    <row r="97" spans="1:53" x14ac:dyDescent="0.2">
      <c r="A97" s="492"/>
      <c r="B97" s="492"/>
      <c r="C97" s="492"/>
      <c r="D97" s="492"/>
      <c r="E97" s="492"/>
      <c r="F97" s="492"/>
      <c r="G97" s="492"/>
      <c r="H97" s="492"/>
      <c r="I97" s="492"/>
      <c r="J97" s="492"/>
      <c r="K97" s="492"/>
      <c r="L97" s="492"/>
      <c r="M97" s="492"/>
      <c r="N97" s="492"/>
      <c r="O97" s="492"/>
      <c r="P97" s="492"/>
      <c r="Q97" s="492"/>
      <c r="R97" s="492"/>
      <c r="S97" s="492"/>
      <c r="T97" s="492"/>
      <c r="U97" s="492"/>
      <c r="V97" s="492"/>
      <c r="W97" s="492"/>
      <c r="X97" s="492"/>
      <c r="Y97" s="492"/>
      <c r="Z97" s="492"/>
      <c r="AA97" s="492"/>
      <c r="AB97" s="492"/>
      <c r="AC97" s="492"/>
      <c r="AD97" s="492"/>
      <c r="AE97" s="492"/>
      <c r="AF97" s="492"/>
      <c r="AG97" s="492"/>
      <c r="AH97" s="492"/>
      <c r="AI97" s="492"/>
      <c r="AJ97" s="492"/>
      <c r="AK97" s="492"/>
      <c r="AL97" s="492"/>
      <c r="AM97" s="492"/>
      <c r="AN97" s="492"/>
      <c r="AO97" s="492"/>
      <c r="AP97" s="492"/>
      <c r="AQ97" s="492"/>
      <c r="AR97" s="492"/>
      <c r="AS97" s="492"/>
      <c r="AT97" s="492"/>
      <c r="AU97" s="492"/>
      <c r="AV97" s="492"/>
      <c r="AW97" s="492"/>
      <c r="AX97" s="492"/>
      <c r="AY97" s="492"/>
      <c r="AZ97" s="492"/>
    </row>
    <row r="98" spans="1:53" x14ac:dyDescent="0.2">
      <c r="A98" s="492"/>
      <c r="B98" s="492"/>
      <c r="C98" s="492"/>
      <c r="D98" s="492"/>
      <c r="E98" s="492"/>
      <c r="F98" s="492"/>
      <c r="G98" s="492"/>
      <c r="H98" s="492"/>
      <c r="I98" s="492"/>
      <c r="J98" s="492"/>
      <c r="K98" s="492"/>
      <c r="L98" s="492"/>
      <c r="M98" s="492"/>
      <c r="N98" s="492"/>
      <c r="O98" s="492"/>
      <c r="P98" s="492"/>
      <c r="Q98" s="492"/>
      <c r="R98" s="492"/>
      <c r="S98" s="492"/>
      <c r="T98" s="492"/>
      <c r="U98" s="492"/>
      <c r="V98" s="492"/>
      <c r="W98" s="492"/>
      <c r="X98" s="492"/>
      <c r="Y98" s="492"/>
      <c r="Z98" s="492"/>
      <c r="AA98" s="492"/>
      <c r="AB98" s="492"/>
      <c r="AC98" s="492"/>
      <c r="AD98" s="492"/>
      <c r="AE98" s="492"/>
      <c r="AF98" s="492"/>
      <c r="AG98" s="492"/>
      <c r="AH98" s="492"/>
      <c r="AI98" s="492"/>
      <c r="AJ98" s="492"/>
      <c r="AK98" s="492"/>
      <c r="AL98" s="492"/>
      <c r="AM98" s="492"/>
      <c r="AN98" s="492"/>
      <c r="AO98" s="492"/>
      <c r="AP98" s="492"/>
      <c r="AQ98" s="492"/>
      <c r="AR98" s="492"/>
      <c r="AS98" s="492"/>
      <c r="AT98" s="492"/>
      <c r="AU98" s="492"/>
      <c r="AV98" s="492"/>
      <c r="AW98" s="492"/>
      <c r="AX98" s="492"/>
      <c r="AY98" s="492"/>
      <c r="AZ98" s="492"/>
    </row>
    <row r="99" spans="1:53" x14ac:dyDescent="0.2">
      <c r="A99" s="492"/>
      <c r="B99" s="492"/>
      <c r="C99" s="492"/>
      <c r="D99" s="492"/>
      <c r="E99" s="492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2"/>
      <c r="R99" s="492"/>
      <c r="S99" s="492"/>
      <c r="T99" s="492"/>
      <c r="U99" s="492"/>
      <c r="V99" s="492"/>
      <c r="W99" s="492"/>
      <c r="X99" s="492"/>
      <c r="Y99" s="492"/>
      <c r="Z99" s="492"/>
      <c r="AA99" s="492"/>
      <c r="AB99" s="492"/>
      <c r="AC99" s="492"/>
      <c r="AD99" s="492"/>
      <c r="AE99" s="492"/>
      <c r="AF99" s="492"/>
      <c r="AG99" s="492"/>
      <c r="AH99" s="492"/>
      <c r="AI99" s="492"/>
      <c r="AJ99" s="492"/>
      <c r="AK99" s="492"/>
      <c r="AL99" s="492"/>
      <c r="AM99" s="492"/>
      <c r="AN99" s="492"/>
      <c r="AO99" s="492"/>
      <c r="AP99" s="492"/>
      <c r="AQ99" s="492"/>
      <c r="AR99" s="492"/>
      <c r="AS99" s="492"/>
      <c r="AT99" s="492"/>
      <c r="AU99" s="492"/>
      <c r="AV99" s="492"/>
      <c r="AW99" s="492"/>
      <c r="AX99" s="492"/>
      <c r="AY99" s="492"/>
      <c r="AZ99" s="492"/>
    </row>
    <row r="100" spans="1:53" x14ac:dyDescent="0.2">
      <c r="A100" s="492"/>
      <c r="B100" s="492"/>
      <c r="C100" s="492"/>
      <c r="D100" s="492"/>
      <c r="E100" s="492"/>
      <c r="F100" s="492"/>
      <c r="G100" s="492"/>
      <c r="H100" s="492"/>
      <c r="I100" s="492"/>
      <c r="J100" s="492"/>
      <c r="K100" s="492"/>
      <c r="L100" s="492"/>
      <c r="M100" s="492"/>
      <c r="N100" s="492"/>
      <c r="O100" s="492"/>
      <c r="P100" s="492"/>
      <c r="Q100" s="492"/>
      <c r="R100" s="492"/>
      <c r="S100" s="492"/>
      <c r="T100" s="492"/>
      <c r="U100" s="492"/>
      <c r="V100" s="492"/>
      <c r="W100" s="492"/>
      <c r="X100" s="492"/>
      <c r="Y100" s="492"/>
      <c r="Z100" s="492"/>
      <c r="AA100" s="492"/>
      <c r="AB100" s="492"/>
      <c r="AC100" s="492"/>
      <c r="AD100" s="492"/>
      <c r="AE100" s="492"/>
      <c r="AF100" s="492"/>
      <c r="AG100" s="492"/>
      <c r="AH100" s="492"/>
      <c r="AI100" s="492"/>
      <c r="AJ100" s="492"/>
      <c r="AK100" s="492"/>
      <c r="AL100" s="492"/>
      <c r="AM100" s="492"/>
      <c r="AN100" s="492"/>
      <c r="AO100" s="492"/>
      <c r="AP100" s="492"/>
      <c r="AQ100" s="492"/>
      <c r="AR100" s="492"/>
      <c r="AS100" s="492"/>
      <c r="AT100" s="492"/>
      <c r="AU100" s="492"/>
      <c r="AV100" s="492"/>
      <c r="AW100" s="492"/>
      <c r="AX100" s="492"/>
      <c r="AY100" s="492"/>
      <c r="AZ100" s="492"/>
    </row>
    <row r="101" spans="1:53" x14ac:dyDescent="0.2">
      <c r="A101" s="492"/>
      <c r="B101" s="492"/>
      <c r="C101" s="492"/>
      <c r="D101" s="492"/>
      <c r="E101" s="492"/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2"/>
      <c r="R101" s="492"/>
      <c r="S101" s="492"/>
      <c r="T101" s="492"/>
      <c r="U101" s="492"/>
      <c r="V101" s="492"/>
      <c r="W101" s="492"/>
      <c r="X101" s="492"/>
      <c r="Y101" s="492"/>
      <c r="Z101" s="492"/>
      <c r="AA101" s="492"/>
      <c r="AB101" s="492"/>
      <c r="AC101" s="492"/>
      <c r="AD101" s="492"/>
      <c r="AE101" s="492"/>
      <c r="AF101" s="492"/>
      <c r="AG101" s="492"/>
      <c r="AH101" s="492"/>
      <c r="AI101" s="492"/>
      <c r="AJ101" s="492"/>
      <c r="AK101" s="492"/>
      <c r="AL101" s="492"/>
      <c r="AM101" s="492"/>
      <c r="AN101" s="492"/>
      <c r="AO101" s="492"/>
      <c r="AP101" s="492"/>
      <c r="AQ101" s="492"/>
      <c r="AR101" s="492"/>
      <c r="AS101" s="492"/>
      <c r="AT101" s="492"/>
      <c r="AU101" s="492"/>
      <c r="AV101" s="492"/>
      <c r="AW101" s="492"/>
      <c r="AX101" s="492"/>
      <c r="AY101" s="492"/>
      <c r="AZ101" s="492"/>
    </row>
    <row r="102" spans="1:53" x14ac:dyDescent="0.2">
      <c r="A102" s="492"/>
      <c r="B102" s="492"/>
      <c r="C102" s="492"/>
      <c r="D102" s="492"/>
      <c r="E102" s="492"/>
      <c r="F102" s="492"/>
      <c r="G102" s="492"/>
      <c r="H102" s="492"/>
      <c r="I102" s="492"/>
      <c r="J102" s="492"/>
      <c r="K102" s="492"/>
      <c r="L102" s="492"/>
      <c r="M102" s="492"/>
      <c r="N102" s="492"/>
      <c r="O102" s="492"/>
      <c r="P102" s="492"/>
      <c r="Q102" s="492"/>
      <c r="R102" s="492"/>
      <c r="S102" s="492"/>
      <c r="T102" s="492"/>
      <c r="U102" s="492"/>
      <c r="V102" s="492"/>
      <c r="W102" s="492"/>
      <c r="X102" s="492"/>
      <c r="Y102" s="492"/>
      <c r="Z102" s="492"/>
      <c r="AA102" s="492"/>
      <c r="AB102" s="492"/>
      <c r="AC102" s="492"/>
      <c r="AD102" s="492"/>
      <c r="AE102" s="492"/>
      <c r="AF102" s="492"/>
      <c r="AG102" s="492"/>
      <c r="AH102" s="492"/>
      <c r="AI102" s="492"/>
      <c r="AJ102" s="492"/>
      <c r="AK102" s="492"/>
      <c r="AL102" s="492"/>
      <c r="AM102" s="492"/>
      <c r="AN102" s="492"/>
      <c r="AO102" s="492"/>
      <c r="AP102" s="492"/>
      <c r="AQ102" s="492"/>
      <c r="AR102" s="492"/>
      <c r="AS102" s="492"/>
      <c r="AT102" s="492"/>
      <c r="AU102" s="492"/>
      <c r="AV102" s="492"/>
      <c r="AW102" s="492"/>
      <c r="AX102" s="492"/>
      <c r="AY102" s="492"/>
      <c r="AZ102" s="492"/>
    </row>
    <row r="103" spans="1:53" x14ac:dyDescent="0.2">
      <c r="A103" s="492"/>
      <c r="B103" s="492"/>
      <c r="C103" s="492"/>
      <c r="D103" s="492"/>
      <c r="E103" s="492"/>
      <c r="F103" s="492"/>
      <c r="G103" s="492"/>
      <c r="H103" s="492"/>
      <c r="I103" s="492"/>
      <c r="J103" s="492"/>
      <c r="K103" s="492"/>
      <c r="L103" s="492"/>
      <c r="M103" s="492"/>
      <c r="N103" s="492"/>
      <c r="O103" s="492"/>
      <c r="P103" s="492"/>
      <c r="Q103" s="492"/>
      <c r="R103" s="492"/>
      <c r="S103" s="492"/>
      <c r="T103" s="492"/>
      <c r="U103" s="492"/>
      <c r="V103" s="492"/>
      <c r="W103" s="492"/>
      <c r="X103" s="492"/>
      <c r="Y103" s="492"/>
      <c r="Z103" s="492"/>
      <c r="AA103" s="492"/>
      <c r="AB103" s="492"/>
      <c r="AC103" s="492"/>
      <c r="AD103" s="492"/>
      <c r="AE103" s="492"/>
      <c r="AF103" s="492"/>
      <c r="AG103" s="492"/>
      <c r="AH103" s="492"/>
      <c r="AI103" s="492"/>
      <c r="AJ103" s="492"/>
      <c r="AK103" s="492"/>
      <c r="AL103" s="492"/>
      <c r="AM103" s="492"/>
      <c r="AN103" s="492"/>
      <c r="AO103" s="492"/>
      <c r="AP103" s="492"/>
      <c r="AQ103" s="492"/>
      <c r="AR103" s="492"/>
      <c r="AS103" s="492"/>
      <c r="AT103" s="492"/>
      <c r="AU103" s="492"/>
      <c r="AV103" s="492"/>
      <c r="AW103" s="492"/>
      <c r="AX103" s="492"/>
      <c r="AY103" s="492"/>
      <c r="AZ103" s="492"/>
    </row>
    <row r="104" spans="1:53" x14ac:dyDescent="0.2">
      <c r="A104" s="492"/>
      <c r="B104" s="492"/>
      <c r="C104" s="492"/>
      <c r="D104" s="492"/>
      <c r="E104" s="492"/>
      <c r="F104" s="492"/>
      <c r="G104" s="492"/>
      <c r="H104" s="492"/>
      <c r="I104" s="492"/>
      <c r="J104" s="492"/>
      <c r="K104" s="492"/>
      <c r="L104" s="492"/>
      <c r="M104" s="492"/>
      <c r="N104" s="492"/>
      <c r="O104" s="492"/>
      <c r="P104" s="492"/>
      <c r="Q104" s="492"/>
      <c r="R104" s="492"/>
      <c r="S104" s="492"/>
      <c r="T104" s="492"/>
      <c r="U104" s="492"/>
      <c r="V104" s="492"/>
      <c r="W104" s="492"/>
      <c r="X104" s="492"/>
      <c r="Y104" s="492"/>
      <c r="Z104" s="492"/>
      <c r="AA104" s="492"/>
      <c r="AB104" s="492"/>
      <c r="AC104" s="492"/>
      <c r="AD104" s="492"/>
      <c r="AE104" s="492"/>
      <c r="AF104" s="492"/>
      <c r="AG104" s="492"/>
      <c r="AH104" s="492"/>
      <c r="AI104" s="492"/>
      <c r="AJ104" s="492"/>
      <c r="AK104" s="492"/>
      <c r="AL104" s="492"/>
      <c r="AM104" s="492"/>
      <c r="AN104" s="492"/>
      <c r="AO104" s="492"/>
      <c r="AP104" s="492"/>
      <c r="AQ104" s="492"/>
      <c r="AR104" s="492"/>
      <c r="AS104" s="492"/>
      <c r="AT104" s="492"/>
      <c r="AU104" s="492"/>
      <c r="AV104" s="492"/>
      <c r="AW104" s="492"/>
      <c r="AX104" s="492"/>
      <c r="AY104" s="492"/>
      <c r="AZ104" s="492"/>
    </row>
    <row r="105" spans="1:53" x14ac:dyDescent="0.2">
      <c r="A105" s="492"/>
      <c r="B105" s="492"/>
      <c r="C105" s="492"/>
      <c r="D105" s="492"/>
      <c r="E105" s="492"/>
      <c r="F105" s="492"/>
      <c r="G105" s="492"/>
      <c r="H105" s="492"/>
      <c r="I105" s="492"/>
      <c r="J105" s="492"/>
      <c r="K105" s="492"/>
      <c r="L105" s="492"/>
      <c r="M105" s="492"/>
      <c r="N105" s="492"/>
      <c r="O105" s="492"/>
      <c r="P105" s="492"/>
      <c r="Q105" s="492"/>
      <c r="R105" s="492"/>
      <c r="S105" s="492"/>
      <c r="T105" s="492"/>
      <c r="U105" s="492"/>
      <c r="V105" s="492"/>
      <c r="W105" s="492"/>
      <c r="X105" s="492"/>
      <c r="Y105" s="492"/>
      <c r="Z105" s="492"/>
      <c r="AA105" s="492"/>
      <c r="AB105" s="492"/>
      <c r="AC105" s="492"/>
      <c r="AD105" s="492"/>
      <c r="AE105" s="492"/>
      <c r="AF105" s="492"/>
      <c r="AG105" s="492"/>
      <c r="AH105" s="492"/>
      <c r="AI105" s="492"/>
      <c r="AJ105" s="492"/>
      <c r="AK105" s="492"/>
      <c r="AL105" s="492"/>
      <c r="AM105" s="492"/>
      <c r="AN105" s="492"/>
      <c r="AO105" s="492"/>
      <c r="AP105" s="492"/>
      <c r="AQ105" s="492"/>
      <c r="AR105" s="492"/>
      <c r="AS105" s="492"/>
      <c r="AT105" s="492"/>
      <c r="AU105" s="492"/>
      <c r="AV105" s="492"/>
      <c r="AW105" s="492"/>
      <c r="AX105" s="492"/>
      <c r="AY105" s="492"/>
      <c r="AZ105" s="492"/>
    </row>
    <row r="106" spans="1:53" x14ac:dyDescent="0.2">
      <c r="A106" s="492"/>
      <c r="B106" s="492"/>
      <c r="C106" s="492"/>
      <c r="D106" s="492"/>
      <c r="E106" s="492"/>
      <c r="F106" s="492"/>
      <c r="G106" s="492"/>
      <c r="H106" s="492"/>
      <c r="I106" s="492"/>
      <c r="J106" s="492"/>
      <c r="K106" s="492"/>
      <c r="L106" s="492"/>
      <c r="M106" s="492"/>
      <c r="N106" s="492"/>
      <c r="O106" s="492"/>
      <c r="P106" s="492"/>
      <c r="Q106" s="492"/>
      <c r="R106" s="492"/>
      <c r="S106" s="492"/>
      <c r="T106" s="492"/>
      <c r="U106" s="492"/>
      <c r="V106" s="492"/>
      <c r="W106" s="492"/>
      <c r="X106" s="492"/>
      <c r="Y106" s="492"/>
      <c r="Z106" s="492"/>
      <c r="AA106" s="492"/>
      <c r="AB106" s="492"/>
      <c r="AC106" s="492"/>
      <c r="AD106" s="492"/>
      <c r="AE106" s="492"/>
      <c r="AF106" s="492"/>
      <c r="AG106" s="492"/>
      <c r="AH106" s="492"/>
      <c r="AI106" s="492"/>
      <c r="AJ106" s="492"/>
      <c r="AK106" s="492"/>
      <c r="AL106" s="492"/>
      <c r="AM106" s="492"/>
      <c r="AN106" s="492"/>
      <c r="AO106" s="492"/>
      <c r="AP106" s="492"/>
      <c r="AQ106" s="492"/>
      <c r="AR106" s="492"/>
      <c r="AS106" s="492"/>
      <c r="AT106" s="492"/>
      <c r="AU106" s="492"/>
      <c r="AV106" s="492"/>
      <c r="AW106" s="492"/>
      <c r="AX106" s="492"/>
      <c r="AY106" s="492"/>
      <c r="AZ106" s="492"/>
    </row>
    <row r="107" spans="1:53" x14ac:dyDescent="0.2">
      <c r="A107" s="492"/>
      <c r="B107" s="492"/>
      <c r="C107" s="492"/>
      <c r="D107" s="492"/>
      <c r="E107" s="492"/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2"/>
      <c r="R107" s="492"/>
      <c r="S107" s="492"/>
      <c r="T107" s="492"/>
      <c r="U107" s="492"/>
      <c r="V107" s="492"/>
      <c r="W107" s="492"/>
      <c r="X107" s="492"/>
      <c r="Y107" s="492"/>
      <c r="Z107" s="492"/>
      <c r="AA107" s="492"/>
      <c r="AB107" s="492"/>
      <c r="AC107" s="492"/>
      <c r="AD107" s="492"/>
      <c r="AE107" s="492"/>
      <c r="AF107" s="492"/>
      <c r="AG107" s="492"/>
      <c r="AH107" s="492"/>
      <c r="AI107" s="492"/>
      <c r="AJ107" s="492"/>
      <c r="AK107" s="492"/>
      <c r="AL107" s="492"/>
      <c r="AM107" s="492"/>
      <c r="AN107" s="492"/>
      <c r="AO107" s="492"/>
      <c r="AP107" s="492"/>
      <c r="AQ107" s="492"/>
      <c r="AR107" s="492"/>
      <c r="AS107" s="492"/>
      <c r="AT107" s="492"/>
      <c r="AU107" s="492"/>
      <c r="AV107" s="492"/>
      <c r="AW107" s="492"/>
      <c r="AX107" s="492"/>
      <c r="AY107" s="492"/>
      <c r="AZ107" s="492"/>
    </row>
    <row r="108" spans="1:53" x14ac:dyDescent="0.2">
      <c r="A108" s="492"/>
      <c r="B108" s="492"/>
      <c r="C108" s="492"/>
      <c r="D108" s="492"/>
      <c r="E108" s="492"/>
      <c r="F108" s="492"/>
      <c r="G108" s="492"/>
      <c r="H108" s="492"/>
      <c r="I108" s="492"/>
      <c r="J108" s="492"/>
      <c r="K108" s="492"/>
      <c r="L108" s="492"/>
      <c r="M108" s="492"/>
      <c r="N108" s="492"/>
      <c r="O108" s="492"/>
      <c r="P108" s="492"/>
      <c r="Q108" s="492"/>
      <c r="R108" s="492"/>
      <c r="S108" s="492"/>
      <c r="T108" s="492"/>
      <c r="U108" s="492"/>
      <c r="V108" s="492"/>
      <c r="W108" s="492"/>
      <c r="X108" s="492"/>
      <c r="Y108" s="492"/>
      <c r="Z108" s="492"/>
      <c r="AA108" s="492"/>
      <c r="AB108" s="492"/>
      <c r="AC108" s="492"/>
      <c r="AD108" s="492"/>
      <c r="AE108" s="492"/>
      <c r="AF108" s="492"/>
      <c r="AG108" s="492"/>
      <c r="AH108" s="492"/>
      <c r="AI108" s="492"/>
      <c r="AJ108" s="492"/>
      <c r="AK108" s="492"/>
      <c r="AL108" s="492"/>
      <c r="AM108" s="492"/>
      <c r="AN108" s="492"/>
      <c r="AO108" s="492"/>
      <c r="AP108" s="492"/>
      <c r="AQ108" s="492"/>
      <c r="AR108" s="492"/>
      <c r="AS108" s="492"/>
      <c r="AT108" s="492"/>
      <c r="AU108" s="492"/>
      <c r="AV108" s="492"/>
      <c r="AW108" s="492"/>
      <c r="AX108" s="492"/>
      <c r="AY108" s="492"/>
      <c r="AZ108" s="492"/>
    </row>
    <row r="109" spans="1:53" x14ac:dyDescent="0.2">
      <c r="A109" s="492"/>
      <c r="B109" s="492"/>
      <c r="C109" s="492"/>
      <c r="D109" s="492"/>
      <c r="E109" s="492"/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2"/>
      <c r="R109" s="492"/>
      <c r="S109" s="492"/>
      <c r="T109" s="492"/>
      <c r="U109" s="492"/>
      <c r="V109" s="492"/>
      <c r="W109" s="492"/>
      <c r="X109" s="492"/>
      <c r="Y109" s="492"/>
      <c r="Z109" s="492"/>
      <c r="AA109" s="492"/>
      <c r="AB109" s="492"/>
      <c r="AC109" s="492"/>
      <c r="AD109" s="492"/>
      <c r="AE109" s="492"/>
      <c r="AF109" s="492"/>
      <c r="AG109" s="492"/>
      <c r="AH109" s="492"/>
      <c r="AI109" s="492"/>
      <c r="AJ109" s="492"/>
      <c r="AK109" s="492"/>
      <c r="AL109" s="492"/>
      <c r="AM109" s="492"/>
      <c r="AN109" s="492"/>
      <c r="AO109" s="492"/>
      <c r="AP109" s="492"/>
      <c r="AQ109" s="492"/>
      <c r="AR109" s="492"/>
      <c r="AS109" s="492"/>
      <c r="AT109" s="492"/>
      <c r="AU109" s="492"/>
      <c r="AV109" s="492"/>
      <c r="AW109" s="492"/>
      <c r="AX109" s="492"/>
      <c r="AY109" s="492"/>
      <c r="AZ109" s="492"/>
      <c r="BA109" s="492"/>
    </row>
    <row r="110" spans="1:53" x14ac:dyDescent="0.2">
      <c r="A110" s="492"/>
      <c r="B110" s="492"/>
      <c r="C110" s="492"/>
      <c r="D110" s="492"/>
      <c r="E110" s="492"/>
      <c r="F110" s="492"/>
      <c r="G110" s="492"/>
      <c r="H110" s="492"/>
      <c r="I110" s="492"/>
      <c r="J110" s="492"/>
      <c r="K110" s="492"/>
      <c r="L110" s="492"/>
      <c r="M110" s="492"/>
      <c r="N110" s="492"/>
      <c r="O110" s="492"/>
      <c r="P110" s="492"/>
      <c r="Q110" s="492"/>
      <c r="R110" s="492"/>
      <c r="S110" s="492"/>
      <c r="T110" s="492"/>
      <c r="U110" s="492"/>
      <c r="V110" s="492"/>
      <c r="W110" s="492"/>
      <c r="X110" s="492"/>
      <c r="Y110" s="492"/>
      <c r="Z110" s="492"/>
      <c r="AA110" s="492"/>
      <c r="AB110" s="492"/>
      <c r="AC110" s="492"/>
      <c r="AD110" s="492"/>
      <c r="AE110" s="492"/>
      <c r="AF110" s="492"/>
      <c r="AG110" s="492"/>
      <c r="AH110" s="492"/>
      <c r="AI110" s="492"/>
      <c r="AJ110" s="492"/>
      <c r="AK110" s="492"/>
      <c r="AL110" s="492"/>
      <c r="AM110" s="492"/>
      <c r="AN110" s="492"/>
      <c r="AO110" s="492"/>
      <c r="AP110" s="492"/>
      <c r="AQ110" s="492"/>
      <c r="AR110" s="492"/>
      <c r="AS110" s="492"/>
      <c r="AT110" s="492"/>
      <c r="AU110" s="492"/>
      <c r="AV110" s="492"/>
      <c r="AW110" s="492"/>
      <c r="AX110" s="492"/>
      <c r="AY110" s="492"/>
      <c r="AZ110" s="492"/>
    </row>
    <row r="111" spans="1:53" x14ac:dyDescent="0.2">
      <c r="A111" s="492"/>
      <c r="B111" s="492"/>
      <c r="C111" s="492"/>
      <c r="D111" s="492"/>
      <c r="E111" s="492"/>
      <c r="F111" s="492"/>
      <c r="G111" s="492"/>
      <c r="H111" s="492"/>
      <c r="I111" s="492"/>
      <c r="J111" s="492"/>
      <c r="K111" s="492"/>
      <c r="L111" s="492"/>
      <c r="M111" s="492"/>
      <c r="N111" s="492"/>
      <c r="O111" s="492"/>
      <c r="P111" s="492"/>
      <c r="Q111" s="492"/>
      <c r="R111" s="492"/>
      <c r="S111" s="492"/>
      <c r="T111" s="492"/>
      <c r="U111" s="492"/>
      <c r="V111" s="492"/>
      <c r="W111" s="492"/>
      <c r="X111" s="492"/>
      <c r="Y111" s="492"/>
      <c r="Z111" s="492"/>
      <c r="AA111" s="492"/>
      <c r="AB111" s="492"/>
      <c r="AC111" s="492"/>
      <c r="AD111" s="492"/>
      <c r="AE111" s="492"/>
      <c r="AF111" s="492"/>
      <c r="AG111" s="492"/>
      <c r="AH111" s="492"/>
      <c r="AI111" s="492"/>
      <c r="AJ111" s="492"/>
      <c r="AK111" s="492"/>
      <c r="AL111" s="492"/>
      <c r="AM111" s="492"/>
      <c r="AN111" s="492"/>
      <c r="AO111" s="492"/>
      <c r="AP111" s="492"/>
      <c r="AQ111" s="492"/>
      <c r="AR111" s="492"/>
      <c r="AS111" s="492"/>
      <c r="AT111" s="492"/>
      <c r="AU111" s="492"/>
      <c r="AV111" s="492"/>
      <c r="AW111" s="492"/>
      <c r="AX111" s="492"/>
      <c r="AY111" s="492"/>
      <c r="AZ111" s="492"/>
    </row>
    <row r="112" spans="1:53" x14ac:dyDescent="0.2">
      <c r="A112" s="492"/>
      <c r="B112" s="492"/>
      <c r="C112" s="492"/>
      <c r="D112" s="492"/>
      <c r="E112" s="492"/>
      <c r="F112" s="492"/>
      <c r="G112" s="492"/>
      <c r="H112" s="492"/>
      <c r="I112" s="492"/>
      <c r="J112" s="492"/>
      <c r="K112" s="492"/>
      <c r="L112" s="492"/>
      <c r="M112" s="492"/>
      <c r="N112" s="492"/>
      <c r="O112" s="492"/>
      <c r="P112" s="492"/>
      <c r="Q112" s="492"/>
      <c r="R112" s="492"/>
      <c r="S112" s="492"/>
      <c r="T112" s="492"/>
      <c r="U112" s="492"/>
      <c r="V112" s="492"/>
      <c r="W112" s="492"/>
      <c r="X112" s="492"/>
      <c r="Y112" s="492"/>
      <c r="Z112" s="492"/>
      <c r="AA112" s="492"/>
      <c r="AB112" s="492"/>
      <c r="AC112" s="492"/>
      <c r="AD112" s="492"/>
      <c r="AE112" s="492"/>
      <c r="AF112" s="492"/>
      <c r="AG112" s="492"/>
      <c r="AH112" s="492"/>
      <c r="AI112" s="492"/>
      <c r="AJ112" s="492"/>
      <c r="AK112" s="492"/>
      <c r="AL112" s="492"/>
      <c r="AM112" s="492"/>
      <c r="AN112" s="492"/>
      <c r="AO112" s="492"/>
      <c r="AP112" s="492"/>
      <c r="AQ112" s="492"/>
      <c r="AR112" s="492"/>
      <c r="AS112" s="492"/>
      <c r="AT112" s="492"/>
      <c r="AU112" s="492"/>
      <c r="AV112" s="492"/>
      <c r="AW112" s="492"/>
      <c r="AX112" s="492"/>
      <c r="AY112" s="492"/>
      <c r="AZ112" s="492"/>
    </row>
    <row r="113" spans="1:52" x14ac:dyDescent="0.2">
      <c r="A113" s="492"/>
      <c r="B113" s="492"/>
      <c r="C113" s="492"/>
      <c r="D113" s="492"/>
      <c r="E113" s="492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2"/>
      <c r="R113" s="492"/>
      <c r="S113" s="492"/>
      <c r="T113" s="492"/>
      <c r="U113" s="492"/>
      <c r="V113" s="492"/>
      <c r="W113" s="492"/>
      <c r="X113" s="492"/>
      <c r="Y113" s="492"/>
      <c r="Z113" s="492"/>
      <c r="AA113" s="492"/>
      <c r="AB113" s="492"/>
      <c r="AC113" s="492"/>
      <c r="AD113" s="492"/>
      <c r="AE113" s="492"/>
      <c r="AF113" s="492"/>
      <c r="AG113" s="492"/>
      <c r="AH113" s="492"/>
      <c r="AI113" s="492"/>
      <c r="AJ113" s="492"/>
      <c r="AK113" s="492"/>
      <c r="AL113" s="492"/>
      <c r="AM113" s="492"/>
      <c r="AN113" s="492"/>
      <c r="AO113" s="492"/>
      <c r="AP113" s="492"/>
      <c r="AQ113" s="492"/>
      <c r="AR113" s="492"/>
      <c r="AS113" s="492"/>
      <c r="AT113" s="492"/>
      <c r="AU113" s="492"/>
      <c r="AV113" s="492"/>
      <c r="AW113" s="492"/>
      <c r="AX113" s="492"/>
      <c r="AY113" s="492"/>
      <c r="AZ113" s="492"/>
    </row>
    <row r="114" spans="1:52" x14ac:dyDescent="0.2">
      <c r="A114" s="492"/>
      <c r="B114" s="492"/>
      <c r="C114" s="492"/>
      <c r="D114" s="492"/>
      <c r="E114" s="492"/>
      <c r="F114" s="492"/>
      <c r="G114" s="492"/>
      <c r="H114" s="492"/>
      <c r="I114" s="492"/>
      <c r="J114" s="492"/>
      <c r="K114" s="492"/>
      <c r="L114" s="492"/>
      <c r="M114" s="492"/>
      <c r="N114" s="492"/>
      <c r="O114" s="492"/>
      <c r="P114" s="492"/>
      <c r="Q114" s="492"/>
      <c r="R114" s="492"/>
      <c r="S114" s="492"/>
      <c r="T114" s="492"/>
      <c r="U114" s="492"/>
      <c r="V114" s="492"/>
      <c r="W114" s="492"/>
      <c r="X114" s="492"/>
      <c r="Y114" s="492"/>
      <c r="Z114" s="492"/>
      <c r="AA114" s="492"/>
      <c r="AB114" s="492"/>
      <c r="AC114" s="492"/>
      <c r="AD114" s="492"/>
      <c r="AE114" s="492"/>
      <c r="AF114" s="492"/>
      <c r="AG114" s="492"/>
      <c r="AH114" s="492"/>
      <c r="AI114" s="492"/>
      <c r="AJ114" s="492"/>
      <c r="AK114" s="492"/>
      <c r="AL114" s="492"/>
      <c r="AM114" s="492"/>
      <c r="AN114" s="492"/>
      <c r="AO114" s="492"/>
      <c r="AP114" s="492"/>
      <c r="AQ114" s="492"/>
      <c r="AR114" s="492"/>
      <c r="AS114" s="492"/>
      <c r="AT114" s="492"/>
      <c r="AU114" s="492"/>
      <c r="AV114" s="492"/>
      <c r="AW114" s="492"/>
      <c r="AX114" s="492"/>
      <c r="AY114" s="492"/>
      <c r="AZ114" s="492"/>
    </row>
    <row r="115" spans="1:52" x14ac:dyDescent="0.2">
      <c r="A115" s="492"/>
      <c r="B115" s="492"/>
      <c r="C115" s="492"/>
      <c r="D115" s="492"/>
      <c r="E115" s="492"/>
      <c r="F115" s="492"/>
      <c r="G115" s="492"/>
      <c r="H115" s="492"/>
      <c r="I115" s="492"/>
      <c r="J115" s="492"/>
      <c r="K115" s="492"/>
      <c r="L115" s="492"/>
      <c r="M115" s="492"/>
      <c r="N115" s="492"/>
      <c r="O115" s="492"/>
      <c r="P115" s="492"/>
      <c r="Q115" s="492"/>
      <c r="R115" s="492"/>
      <c r="S115" s="492"/>
      <c r="T115" s="492"/>
      <c r="U115" s="492"/>
      <c r="V115" s="492"/>
      <c r="W115" s="492"/>
      <c r="X115" s="492"/>
      <c r="Y115" s="492"/>
      <c r="Z115" s="492"/>
      <c r="AA115" s="492"/>
      <c r="AB115" s="492"/>
      <c r="AC115" s="492"/>
      <c r="AD115" s="492"/>
      <c r="AE115" s="492"/>
      <c r="AF115" s="492"/>
      <c r="AG115" s="492"/>
      <c r="AH115" s="492"/>
      <c r="AI115" s="492"/>
      <c r="AJ115" s="492"/>
      <c r="AK115" s="492"/>
      <c r="AL115" s="492"/>
      <c r="AM115" s="492"/>
      <c r="AN115" s="492"/>
      <c r="AO115" s="492"/>
      <c r="AP115" s="492"/>
      <c r="AQ115" s="492"/>
      <c r="AR115" s="492"/>
      <c r="AS115" s="492"/>
      <c r="AT115" s="492"/>
      <c r="AU115" s="492"/>
      <c r="AV115" s="492"/>
      <c r="AW115" s="492"/>
      <c r="AX115" s="492"/>
      <c r="AY115" s="492"/>
      <c r="AZ115" s="492"/>
    </row>
    <row r="116" spans="1:52" x14ac:dyDescent="0.2">
      <c r="A116" s="492"/>
      <c r="B116" s="492"/>
      <c r="C116" s="492"/>
      <c r="D116" s="492"/>
      <c r="E116" s="492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2"/>
      <c r="R116" s="492"/>
      <c r="S116" s="492"/>
      <c r="T116" s="492"/>
      <c r="U116" s="492"/>
      <c r="V116" s="492"/>
      <c r="W116" s="492"/>
      <c r="X116" s="492"/>
      <c r="Y116" s="492"/>
      <c r="Z116" s="492"/>
      <c r="AA116" s="492"/>
      <c r="AB116" s="492"/>
      <c r="AC116" s="492"/>
      <c r="AD116" s="492"/>
      <c r="AE116" s="492"/>
      <c r="AF116" s="492"/>
      <c r="AG116" s="492"/>
      <c r="AH116" s="492"/>
      <c r="AI116" s="492"/>
      <c r="AJ116" s="492"/>
      <c r="AK116" s="492"/>
      <c r="AL116" s="492"/>
      <c r="AM116" s="492"/>
      <c r="AN116" s="492"/>
      <c r="AO116" s="492"/>
      <c r="AP116" s="492"/>
      <c r="AQ116" s="492"/>
      <c r="AR116" s="492"/>
      <c r="AS116" s="492"/>
      <c r="AT116" s="492"/>
      <c r="AU116" s="492"/>
      <c r="AV116" s="492"/>
      <c r="AW116" s="492"/>
      <c r="AX116" s="492"/>
      <c r="AY116" s="492"/>
      <c r="AZ116" s="492"/>
    </row>
    <row r="117" spans="1:52" x14ac:dyDescent="0.2">
      <c r="A117" s="492"/>
      <c r="B117" s="492"/>
      <c r="C117" s="492"/>
      <c r="D117" s="492"/>
      <c r="E117" s="492"/>
      <c r="F117" s="492"/>
      <c r="G117" s="492"/>
      <c r="H117" s="492"/>
      <c r="I117" s="492"/>
      <c r="J117" s="492"/>
      <c r="K117" s="492"/>
      <c r="L117" s="492"/>
      <c r="M117" s="492"/>
      <c r="N117" s="492"/>
      <c r="O117" s="492"/>
      <c r="P117" s="492"/>
      <c r="Q117" s="492"/>
      <c r="R117" s="492"/>
      <c r="S117" s="492"/>
      <c r="T117" s="492"/>
      <c r="U117" s="492"/>
      <c r="V117" s="492"/>
      <c r="W117" s="492"/>
      <c r="X117" s="492"/>
      <c r="Y117" s="492"/>
      <c r="Z117" s="492"/>
      <c r="AA117" s="492"/>
      <c r="AB117" s="492"/>
      <c r="AC117" s="492"/>
      <c r="AD117" s="492"/>
      <c r="AE117" s="492"/>
      <c r="AF117" s="492"/>
      <c r="AG117" s="492"/>
      <c r="AH117" s="492"/>
      <c r="AI117" s="492"/>
      <c r="AJ117" s="492"/>
      <c r="AK117" s="492"/>
      <c r="AL117" s="492"/>
      <c r="AM117" s="492"/>
      <c r="AN117" s="492"/>
      <c r="AO117" s="492"/>
      <c r="AP117" s="492"/>
      <c r="AQ117" s="492"/>
      <c r="AR117" s="492"/>
      <c r="AS117" s="492"/>
      <c r="AT117" s="492"/>
      <c r="AU117" s="492"/>
      <c r="AV117" s="492"/>
      <c r="AW117" s="492"/>
      <c r="AX117" s="492"/>
      <c r="AY117" s="492"/>
      <c r="AZ117" s="492"/>
    </row>
    <row r="118" spans="1:52" x14ac:dyDescent="0.2">
      <c r="A118" s="492"/>
      <c r="B118" s="492"/>
      <c r="C118" s="492"/>
      <c r="D118" s="492"/>
      <c r="E118" s="492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2"/>
      <c r="R118" s="492"/>
      <c r="S118" s="492"/>
      <c r="T118" s="492"/>
      <c r="U118" s="492"/>
      <c r="V118" s="492"/>
      <c r="W118" s="492"/>
      <c r="X118" s="492"/>
      <c r="Y118" s="492"/>
      <c r="Z118" s="492"/>
      <c r="AA118" s="492"/>
      <c r="AB118" s="492"/>
      <c r="AC118" s="492"/>
      <c r="AD118" s="492"/>
      <c r="AE118" s="492"/>
      <c r="AF118" s="492"/>
      <c r="AG118" s="492"/>
      <c r="AH118" s="492"/>
      <c r="AI118" s="492"/>
      <c r="AJ118" s="492"/>
      <c r="AK118" s="492"/>
      <c r="AL118" s="492"/>
      <c r="AM118" s="492"/>
      <c r="AN118" s="492"/>
      <c r="AO118" s="492"/>
      <c r="AP118" s="492"/>
      <c r="AQ118" s="492"/>
      <c r="AR118" s="492"/>
      <c r="AS118" s="492"/>
      <c r="AT118" s="492"/>
      <c r="AU118" s="492"/>
      <c r="AV118" s="492"/>
      <c r="AW118" s="492"/>
      <c r="AX118" s="492"/>
      <c r="AY118" s="492"/>
      <c r="AZ118" s="492"/>
    </row>
    <row r="119" spans="1:52" x14ac:dyDescent="0.2">
      <c r="A119" s="492"/>
      <c r="B119" s="492"/>
      <c r="C119" s="492"/>
      <c r="D119" s="492"/>
      <c r="E119" s="492"/>
      <c r="F119" s="492"/>
      <c r="G119" s="492"/>
      <c r="H119" s="492"/>
      <c r="I119" s="492"/>
      <c r="J119" s="492"/>
      <c r="K119" s="492"/>
      <c r="L119" s="492"/>
      <c r="M119" s="492"/>
      <c r="N119" s="492"/>
      <c r="O119" s="492"/>
      <c r="P119" s="492"/>
      <c r="Q119" s="492"/>
      <c r="R119" s="492"/>
      <c r="S119" s="492"/>
      <c r="T119" s="492"/>
      <c r="U119" s="492"/>
      <c r="V119" s="492"/>
      <c r="W119" s="492"/>
      <c r="X119" s="492"/>
      <c r="Y119" s="492"/>
      <c r="Z119" s="492"/>
      <c r="AA119" s="492"/>
      <c r="AB119" s="492"/>
      <c r="AC119" s="492"/>
      <c r="AD119" s="492"/>
      <c r="AE119" s="492"/>
      <c r="AF119" s="492"/>
      <c r="AG119" s="492"/>
      <c r="AH119" s="492"/>
      <c r="AI119" s="492"/>
      <c r="AJ119" s="492"/>
      <c r="AK119" s="492"/>
      <c r="AL119" s="492"/>
      <c r="AM119" s="492"/>
      <c r="AN119" s="492"/>
      <c r="AO119" s="492"/>
      <c r="AP119" s="492"/>
      <c r="AQ119" s="492"/>
      <c r="AR119" s="492"/>
      <c r="AS119" s="492"/>
      <c r="AT119" s="492"/>
      <c r="AU119" s="492"/>
      <c r="AV119" s="492"/>
      <c r="AW119" s="492"/>
      <c r="AX119" s="492"/>
      <c r="AY119" s="492"/>
      <c r="AZ119" s="492"/>
    </row>
    <row r="120" spans="1:52" x14ac:dyDescent="0.2">
      <c r="A120" s="492"/>
      <c r="B120" s="492"/>
      <c r="C120" s="492"/>
      <c r="D120" s="492"/>
      <c r="E120" s="492"/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2"/>
      <c r="R120" s="492"/>
      <c r="S120" s="492"/>
      <c r="T120" s="492"/>
      <c r="U120" s="492"/>
      <c r="V120" s="492"/>
      <c r="W120" s="492"/>
      <c r="X120" s="492"/>
      <c r="Y120" s="492"/>
      <c r="Z120" s="492"/>
      <c r="AA120" s="492"/>
      <c r="AB120" s="492"/>
      <c r="AC120" s="492"/>
      <c r="AD120" s="492"/>
      <c r="AE120" s="492"/>
      <c r="AF120" s="492"/>
      <c r="AG120" s="492"/>
      <c r="AH120" s="492"/>
      <c r="AI120" s="492"/>
      <c r="AJ120" s="492"/>
      <c r="AK120" s="492"/>
      <c r="AL120" s="492"/>
      <c r="AM120" s="492"/>
      <c r="AN120" s="492"/>
      <c r="AO120" s="492"/>
      <c r="AP120" s="492"/>
      <c r="AQ120" s="492"/>
      <c r="AR120" s="492"/>
      <c r="AS120" s="492"/>
      <c r="AT120" s="492"/>
      <c r="AU120" s="492"/>
      <c r="AV120" s="492"/>
      <c r="AW120" s="492"/>
      <c r="AX120" s="492"/>
      <c r="AY120" s="492"/>
      <c r="AZ120" s="492"/>
    </row>
    <row r="121" spans="1:52" x14ac:dyDescent="0.2">
      <c r="A121" s="492"/>
      <c r="B121" s="492"/>
      <c r="C121" s="492"/>
      <c r="D121" s="492"/>
      <c r="E121" s="492"/>
      <c r="F121" s="492"/>
      <c r="G121" s="492"/>
      <c r="H121" s="492"/>
      <c r="I121" s="492"/>
      <c r="J121" s="492"/>
      <c r="K121" s="492"/>
      <c r="L121" s="492"/>
      <c r="M121" s="492"/>
      <c r="N121" s="492"/>
      <c r="O121" s="492"/>
      <c r="P121" s="492"/>
      <c r="Q121" s="492"/>
      <c r="R121" s="492"/>
      <c r="S121" s="492"/>
      <c r="T121" s="492"/>
      <c r="U121" s="492"/>
      <c r="V121" s="492"/>
      <c r="W121" s="492"/>
      <c r="X121" s="492"/>
      <c r="Y121" s="492"/>
      <c r="Z121" s="492"/>
      <c r="AA121" s="492"/>
      <c r="AB121" s="492"/>
      <c r="AC121" s="492"/>
      <c r="AD121" s="492"/>
      <c r="AE121" s="492"/>
      <c r="AF121" s="492"/>
      <c r="AG121" s="492"/>
      <c r="AH121" s="492"/>
      <c r="AI121" s="492"/>
      <c r="AJ121" s="492"/>
      <c r="AK121" s="492"/>
      <c r="AL121" s="492"/>
      <c r="AM121" s="492"/>
      <c r="AN121" s="492"/>
      <c r="AO121" s="492"/>
      <c r="AP121" s="492"/>
      <c r="AQ121" s="492"/>
      <c r="AR121" s="492"/>
      <c r="AS121" s="492"/>
      <c r="AT121" s="492"/>
      <c r="AU121" s="492"/>
      <c r="AV121" s="492"/>
      <c r="AW121" s="492"/>
      <c r="AX121" s="492"/>
      <c r="AY121" s="492"/>
      <c r="AZ121" s="492"/>
    </row>
    <row r="122" spans="1:52" x14ac:dyDescent="0.2">
      <c r="A122" s="492"/>
      <c r="B122" s="492"/>
      <c r="C122" s="492"/>
      <c r="D122" s="492"/>
      <c r="E122" s="492"/>
      <c r="F122" s="492"/>
      <c r="G122" s="492"/>
      <c r="H122" s="492"/>
      <c r="I122" s="492"/>
      <c r="J122" s="492"/>
      <c r="K122" s="492"/>
      <c r="L122" s="492"/>
      <c r="M122" s="492"/>
      <c r="N122" s="492"/>
      <c r="O122" s="492"/>
      <c r="P122" s="492"/>
      <c r="Q122" s="492"/>
      <c r="R122" s="492"/>
      <c r="S122" s="492"/>
      <c r="T122" s="492"/>
      <c r="U122" s="492"/>
      <c r="V122" s="492"/>
      <c r="W122" s="492"/>
      <c r="X122" s="492"/>
      <c r="Y122" s="492"/>
      <c r="Z122" s="492"/>
      <c r="AA122" s="492"/>
      <c r="AB122" s="492"/>
      <c r="AC122" s="492"/>
      <c r="AD122" s="492"/>
      <c r="AE122" s="492"/>
      <c r="AF122" s="492"/>
      <c r="AG122" s="492"/>
      <c r="AH122" s="492"/>
      <c r="AI122" s="492"/>
      <c r="AJ122" s="492"/>
      <c r="AK122" s="492"/>
      <c r="AL122" s="492"/>
      <c r="AM122" s="492"/>
      <c r="AN122" s="492"/>
      <c r="AO122" s="492"/>
      <c r="AP122" s="492"/>
      <c r="AQ122" s="492"/>
      <c r="AR122" s="492"/>
      <c r="AS122" s="492"/>
      <c r="AT122" s="492"/>
      <c r="AU122" s="492"/>
      <c r="AV122" s="492"/>
      <c r="AW122" s="492"/>
      <c r="AX122" s="492"/>
      <c r="AY122" s="492"/>
      <c r="AZ122" s="492"/>
    </row>
    <row r="123" spans="1:52" x14ac:dyDescent="0.2">
      <c r="A123" s="492"/>
      <c r="B123" s="492"/>
      <c r="C123" s="492"/>
      <c r="D123" s="492"/>
      <c r="E123" s="492"/>
      <c r="F123" s="492"/>
      <c r="G123" s="492"/>
      <c r="H123" s="492"/>
      <c r="I123" s="492"/>
      <c r="J123" s="492"/>
      <c r="K123" s="492"/>
      <c r="L123" s="492"/>
      <c r="M123" s="492"/>
      <c r="N123" s="492"/>
      <c r="O123" s="492"/>
      <c r="P123" s="492"/>
      <c r="Q123" s="492"/>
      <c r="R123" s="492"/>
      <c r="S123" s="492"/>
      <c r="T123" s="492"/>
      <c r="U123" s="492"/>
      <c r="V123" s="492"/>
      <c r="W123" s="492"/>
      <c r="X123" s="492"/>
      <c r="Y123" s="492"/>
      <c r="Z123" s="492"/>
      <c r="AA123" s="492"/>
      <c r="AB123" s="492"/>
      <c r="AC123" s="492"/>
      <c r="AD123" s="492"/>
      <c r="AE123" s="492"/>
      <c r="AF123" s="492"/>
      <c r="AG123" s="492"/>
      <c r="AH123" s="492"/>
      <c r="AI123" s="492"/>
      <c r="AJ123" s="492"/>
      <c r="AK123" s="492"/>
      <c r="AL123" s="492"/>
      <c r="AM123" s="492"/>
      <c r="AN123" s="492"/>
      <c r="AO123" s="492"/>
      <c r="AP123" s="492"/>
      <c r="AQ123" s="492"/>
      <c r="AR123" s="492"/>
      <c r="AS123" s="492"/>
      <c r="AT123" s="492"/>
      <c r="AU123" s="492"/>
      <c r="AV123" s="492"/>
      <c r="AW123" s="492"/>
      <c r="AX123" s="492"/>
      <c r="AY123" s="492"/>
      <c r="AZ123" s="492"/>
    </row>
    <row r="124" spans="1:52" x14ac:dyDescent="0.2">
      <c r="A124" s="492"/>
      <c r="B124" s="492"/>
      <c r="C124" s="492"/>
      <c r="D124" s="492"/>
      <c r="E124" s="492"/>
      <c r="F124" s="492"/>
      <c r="G124" s="492"/>
      <c r="H124" s="492"/>
      <c r="I124" s="492"/>
      <c r="J124" s="492"/>
      <c r="K124" s="492"/>
      <c r="L124" s="492"/>
      <c r="M124" s="492"/>
      <c r="N124" s="492"/>
      <c r="O124" s="492"/>
      <c r="P124" s="492"/>
      <c r="Q124" s="492"/>
      <c r="R124" s="492"/>
      <c r="S124" s="492"/>
      <c r="T124" s="492"/>
      <c r="U124" s="492"/>
      <c r="V124" s="492"/>
      <c r="W124" s="492"/>
      <c r="X124" s="492"/>
      <c r="Y124" s="492"/>
      <c r="Z124" s="492"/>
      <c r="AA124" s="492"/>
      <c r="AB124" s="492"/>
      <c r="AC124" s="492"/>
      <c r="AD124" s="492"/>
      <c r="AE124" s="492"/>
      <c r="AF124" s="492"/>
      <c r="AG124" s="492"/>
      <c r="AH124" s="492"/>
      <c r="AI124" s="492"/>
      <c r="AJ124" s="492"/>
      <c r="AK124" s="492"/>
      <c r="AL124" s="492"/>
      <c r="AM124" s="492"/>
      <c r="AN124" s="492"/>
      <c r="AO124" s="492"/>
      <c r="AP124" s="492"/>
      <c r="AQ124" s="492"/>
      <c r="AR124" s="492"/>
      <c r="AS124" s="492"/>
      <c r="AT124" s="492"/>
      <c r="AU124" s="492"/>
      <c r="AV124" s="492"/>
      <c r="AW124" s="492"/>
      <c r="AX124" s="492"/>
      <c r="AY124" s="492"/>
      <c r="AZ124" s="492"/>
    </row>
    <row r="125" spans="1:52" x14ac:dyDescent="0.2">
      <c r="A125" s="492"/>
      <c r="B125" s="492"/>
      <c r="C125" s="492"/>
      <c r="D125" s="492"/>
      <c r="E125" s="492"/>
      <c r="F125" s="492"/>
      <c r="G125" s="492"/>
      <c r="H125" s="492"/>
      <c r="I125" s="492"/>
      <c r="J125" s="492"/>
      <c r="K125" s="492"/>
      <c r="L125" s="492"/>
      <c r="M125" s="492"/>
      <c r="N125" s="492"/>
      <c r="O125" s="492"/>
      <c r="P125" s="492"/>
      <c r="Q125" s="492"/>
      <c r="R125" s="492"/>
      <c r="S125" s="492"/>
      <c r="T125" s="492"/>
      <c r="U125" s="492"/>
      <c r="V125" s="492"/>
      <c r="W125" s="492"/>
      <c r="X125" s="492"/>
      <c r="Y125" s="492"/>
      <c r="Z125" s="492"/>
      <c r="AA125" s="492"/>
      <c r="AB125" s="492"/>
      <c r="AC125" s="492"/>
      <c r="AD125" s="492"/>
      <c r="AE125" s="492"/>
      <c r="AF125" s="492"/>
      <c r="AG125" s="492"/>
      <c r="AH125" s="492"/>
      <c r="AI125" s="492"/>
      <c r="AJ125" s="492"/>
      <c r="AK125" s="492"/>
      <c r="AL125" s="492"/>
      <c r="AM125" s="492"/>
      <c r="AN125" s="492"/>
      <c r="AO125" s="492"/>
      <c r="AP125" s="492"/>
      <c r="AQ125" s="492"/>
      <c r="AR125" s="492"/>
      <c r="AS125" s="492"/>
      <c r="AT125" s="492"/>
      <c r="AU125" s="492"/>
      <c r="AV125" s="492"/>
      <c r="AW125" s="492"/>
      <c r="AX125" s="492"/>
      <c r="AY125" s="492"/>
      <c r="AZ125" s="492"/>
    </row>
    <row r="126" spans="1:52" x14ac:dyDescent="0.2">
      <c r="A126" s="492"/>
      <c r="B126" s="492"/>
      <c r="C126" s="492"/>
      <c r="D126" s="492"/>
      <c r="E126" s="492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2"/>
      <c r="R126" s="492"/>
      <c r="S126" s="492"/>
      <c r="T126" s="492"/>
      <c r="U126" s="492"/>
      <c r="V126" s="492"/>
      <c r="W126" s="492"/>
      <c r="X126" s="492"/>
      <c r="Y126" s="492"/>
      <c r="Z126" s="492"/>
      <c r="AA126" s="492"/>
      <c r="AB126" s="492"/>
      <c r="AC126" s="492"/>
      <c r="AD126" s="492"/>
      <c r="AE126" s="492"/>
      <c r="AF126" s="492"/>
      <c r="AG126" s="492"/>
      <c r="AH126" s="492"/>
      <c r="AI126" s="492"/>
      <c r="AJ126" s="492"/>
      <c r="AK126" s="492"/>
      <c r="AL126" s="492"/>
      <c r="AM126" s="492"/>
      <c r="AN126" s="492"/>
      <c r="AO126" s="492"/>
      <c r="AP126" s="492"/>
      <c r="AQ126" s="492"/>
      <c r="AR126" s="492"/>
      <c r="AS126" s="492"/>
      <c r="AT126" s="492"/>
      <c r="AU126" s="492"/>
      <c r="AV126" s="492"/>
      <c r="AW126" s="492"/>
      <c r="AX126" s="492"/>
      <c r="AY126" s="492"/>
      <c r="AZ126" s="492"/>
    </row>
    <row r="127" spans="1:52" x14ac:dyDescent="0.2">
      <c r="A127" s="492"/>
      <c r="B127" s="492"/>
      <c r="C127" s="492"/>
      <c r="D127" s="492"/>
      <c r="E127" s="492"/>
      <c r="F127" s="492"/>
      <c r="G127" s="492"/>
      <c r="H127" s="492"/>
      <c r="I127" s="492"/>
      <c r="J127" s="492"/>
      <c r="K127" s="492"/>
      <c r="L127" s="492"/>
      <c r="M127" s="492"/>
      <c r="N127" s="492"/>
      <c r="O127" s="492"/>
      <c r="P127" s="492"/>
      <c r="Q127" s="492"/>
      <c r="R127" s="492"/>
      <c r="S127" s="492"/>
      <c r="T127" s="492"/>
      <c r="U127" s="492"/>
      <c r="V127" s="492"/>
      <c r="W127" s="492"/>
      <c r="X127" s="492"/>
      <c r="Y127" s="492"/>
      <c r="Z127" s="492"/>
      <c r="AA127" s="492"/>
      <c r="AB127" s="492"/>
      <c r="AC127" s="492"/>
      <c r="AD127" s="492"/>
      <c r="AE127" s="492"/>
      <c r="AF127" s="492"/>
      <c r="AG127" s="492"/>
      <c r="AH127" s="492"/>
      <c r="AI127" s="492"/>
      <c r="AJ127" s="492"/>
      <c r="AK127" s="492"/>
      <c r="AL127" s="492"/>
      <c r="AM127" s="492"/>
      <c r="AN127" s="492"/>
      <c r="AO127" s="492"/>
      <c r="AP127" s="492"/>
      <c r="AQ127" s="492"/>
      <c r="AR127" s="492"/>
      <c r="AS127" s="492"/>
      <c r="AT127" s="492"/>
      <c r="AU127" s="492"/>
      <c r="AV127" s="492"/>
      <c r="AW127" s="492"/>
      <c r="AX127" s="492"/>
      <c r="AY127" s="492"/>
      <c r="AZ127" s="492"/>
    </row>
    <row r="128" spans="1:52" x14ac:dyDescent="0.2">
      <c r="A128" s="492"/>
      <c r="B128" s="492"/>
      <c r="C128" s="492"/>
      <c r="D128" s="492"/>
      <c r="E128" s="492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2"/>
      <c r="R128" s="492"/>
      <c r="S128" s="492"/>
      <c r="T128" s="492"/>
      <c r="U128" s="492"/>
      <c r="V128" s="492"/>
      <c r="W128" s="492"/>
      <c r="X128" s="492"/>
      <c r="Y128" s="492"/>
      <c r="Z128" s="492"/>
      <c r="AA128" s="492"/>
      <c r="AB128" s="492"/>
      <c r="AC128" s="492"/>
      <c r="AD128" s="492"/>
      <c r="AE128" s="492"/>
      <c r="AF128" s="492"/>
      <c r="AG128" s="492"/>
      <c r="AH128" s="492"/>
      <c r="AI128" s="492"/>
      <c r="AJ128" s="492"/>
      <c r="AK128" s="492"/>
      <c r="AL128" s="492"/>
      <c r="AM128" s="492"/>
      <c r="AN128" s="492"/>
      <c r="AO128" s="492"/>
      <c r="AP128" s="492"/>
      <c r="AQ128" s="492"/>
      <c r="AR128" s="492"/>
      <c r="AS128" s="492"/>
      <c r="AT128" s="492"/>
      <c r="AU128" s="492"/>
      <c r="AV128" s="492"/>
      <c r="AW128" s="492"/>
      <c r="AX128" s="492"/>
      <c r="AY128" s="492"/>
      <c r="AZ128" s="492"/>
    </row>
    <row r="129" spans="1:52" x14ac:dyDescent="0.2">
      <c r="A129" s="492"/>
      <c r="B129" s="492"/>
      <c r="C129" s="492"/>
      <c r="D129" s="492"/>
      <c r="E129" s="492"/>
      <c r="F129" s="492"/>
      <c r="G129" s="492"/>
      <c r="H129" s="492"/>
      <c r="I129" s="492"/>
      <c r="J129" s="492"/>
      <c r="K129" s="492"/>
      <c r="L129" s="492"/>
      <c r="M129" s="492"/>
      <c r="N129" s="492"/>
      <c r="O129" s="492"/>
      <c r="P129" s="492"/>
      <c r="Q129" s="492"/>
      <c r="R129" s="492"/>
      <c r="S129" s="492"/>
      <c r="T129" s="492"/>
      <c r="U129" s="492"/>
      <c r="V129" s="492"/>
      <c r="W129" s="492"/>
      <c r="X129" s="492"/>
      <c r="Y129" s="492"/>
      <c r="Z129" s="492"/>
      <c r="AA129" s="492"/>
      <c r="AB129" s="492"/>
      <c r="AC129" s="492"/>
      <c r="AD129" s="492"/>
      <c r="AE129" s="492"/>
      <c r="AF129" s="492"/>
      <c r="AG129" s="492"/>
      <c r="AH129" s="492"/>
      <c r="AI129" s="492"/>
      <c r="AJ129" s="492"/>
      <c r="AK129" s="492"/>
      <c r="AL129" s="492"/>
      <c r="AM129" s="492"/>
      <c r="AN129" s="492"/>
      <c r="AO129" s="492"/>
      <c r="AP129" s="492"/>
      <c r="AQ129" s="492"/>
      <c r="AR129" s="492"/>
      <c r="AS129" s="492"/>
      <c r="AT129" s="492"/>
      <c r="AU129" s="492"/>
      <c r="AV129" s="492"/>
      <c r="AW129" s="492"/>
      <c r="AX129" s="492"/>
      <c r="AY129" s="492"/>
      <c r="AZ129" s="492"/>
    </row>
    <row r="130" spans="1:52" x14ac:dyDescent="0.2">
      <c r="A130" s="492"/>
      <c r="B130" s="492"/>
      <c r="C130" s="492"/>
      <c r="D130" s="492"/>
      <c r="E130" s="492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2"/>
      <c r="R130" s="492"/>
      <c r="S130" s="492"/>
      <c r="T130" s="492"/>
      <c r="U130" s="492"/>
      <c r="V130" s="492"/>
      <c r="W130" s="492"/>
      <c r="X130" s="492"/>
      <c r="Y130" s="492"/>
      <c r="Z130" s="492"/>
      <c r="AA130" s="492"/>
      <c r="AB130" s="492"/>
      <c r="AC130" s="492"/>
      <c r="AD130" s="492"/>
      <c r="AE130" s="492"/>
      <c r="AF130" s="492"/>
      <c r="AG130" s="492"/>
      <c r="AH130" s="492"/>
      <c r="AI130" s="492"/>
      <c r="AJ130" s="492"/>
      <c r="AK130" s="492"/>
      <c r="AL130" s="492"/>
      <c r="AM130" s="492"/>
      <c r="AN130" s="492"/>
      <c r="AO130" s="492"/>
      <c r="AP130" s="492"/>
      <c r="AQ130" s="492"/>
      <c r="AR130" s="492"/>
      <c r="AS130" s="492"/>
      <c r="AT130" s="492"/>
      <c r="AU130" s="492"/>
      <c r="AV130" s="492"/>
      <c r="AW130" s="492"/>
      <c r="AX130" s="492"/>
      <c r="AY130" s="492"/>
      <c r="AZ130" s="492"/>
    </row>
    <row r="131" spans="1:52" x14ac:dyDescent="0.2">
      <c r="A131" s="492"/>
      <c r="B131" s="492"/>
      <c r="C131" s="492"/>
      <c r="D131" s="492"/>
      <c r="E131" s="492"/>
      <c r="F131" s="492"/>
      <c r="G131" s="492"/>
      <c r="H131" s="492"/>
      <c r="I131" s="492"/>
      <c r="J131" s="492"/>
      <c r="K131" s="492"/>
      <c r="L131" s="492"/>
      <c r="M131" s="492"/>
      <c r="N131" s="492"/>
      <c r="O131" s="492"/>
      <c r="P131" s="492"/>
      <c r="Q131" s="492"/>
      <c r="R131" s="492"/>
      <c r="S131" s="492"/>
      <c r="T131" s="492"/>
      <c r="U131" s="492"/>
      <c r="V131" s="492"/>
      <c r="W131" s="492"/>
      <c r="X131" s="492"/>
      <c r="Y131" s="492"/>
      <c r="Z131" s="492"/>
      <c r="AA131" s="492"/>
      <c r="AB131" s="492"/>
      <c r="AC131" s="492"/>
      <c r="AD131" s="492"/>
      <c r="AE131" s="492"/>
      <c r="AF131" s="492"/>
      <c r="AG131" s="492"/>
      <c r="AH131" s="492"/>
      <c r="AI131" s="492"/>
      <c r="AJ131" s="492"/>
      <c r="AK131" s="492"/>
      <c r="AL131" s="492"/>
      <c r="AM131" s="492"/>
      <c r="AN131" s="492"/>
      <c r="AO131" s="492"/>
      <c r="AP131" s="492"/>
      <c r="AQ131" s="492"/>
      <c r="AR131" s="492"/>
      <c r="AS131" s="492"/>
      <c r="AT131" s="492"/>
      <c r="AU131" s="492"/>
      <c r="AV131" s="492"/>
      <c r="AW131" s="492"/>
      <c r="AX131" s="492"/>
      <c r="AY131" s="492"/>
      <c r="AZ131" s="492"/>
    </row>
    <row r="132" spans="1:52" x14ac:dyDescent="0.2">
      <c r="A132" s="492"/>
      <c r="B132" s="492"/>
      <c r="C132" s="492"/>
      <c r="D132" s="492"/>
      <c r="E132" s="492"/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2"/>
      <c r="R132" s="492"/>
      <c r="S132" s="492"/>
      <c r="T132" s="492"/>
      <c r="U132" s="492"/>
      <c r="V132" s="492"/>
      <c r="W132" s="492"/>
      <c r="X132" s="492"/>
      <c r="Y132" s="492"/>
      <c r="Z132" s="492"/>
      <c r="AA132" s="492"/>
      <c r="AB132" s="492"/>
      <c r="AC132" s="492"/>
      <c r="AD132" s="492"/>
      <c r="AE132" s="492"/>
      <c r="AF132" s="492"/>
      <c r="AG132" s="492"/>
      <c r="AH132" s="492"/>
      <c r="AI132" s="492"/>
      <c r="AJ132" s="492"/>
      <c r="AK132" s="492"/>
      <c r="AL132" s="492"/>
      <c r="AM132" s="492"/>
      <c r="AN132" s="492"/>
      <c r="AO132" s="492"/>
      <c r="AP132" s="492"/>
      <c r="AQ132" s="492"/>
      <c r="AR132" s="492"/>
      <c r="AS132" s="492"/>
      <c r="AT132" s="492"/>
      <c r="AU132" s="492"/>
      <c r="AV132" s="492"/>
      <c r="AW132" s="492"/>
      <c r="AX132" s="492"/>
      <c r="AY132" s="492"/>
      <c r="AZ132" s="492"/>
    </row>
    <row r="133" spans="1:52" x14ac:dyDescent="0.2">
      <c r="A133" s="492"/>
      <c r="B133" s="492"/>
      <c r="C133" s="492"/>
      <c r="D133" s="492"/>
      <c r="E133" s="492"/>
      <c r="F133" s="492"/>
      <c r="G133" s="492"/>
      <c r="H133" s="492"/>
      <c r="I133" s="492"/>
      <c r="J133" s="492"/>
      <c r="K133" s="492"/>
      <c r="L133" s="492"/>
      <c r="M133" s="492"/>
      <c r="N133" s="492"/>
      <c r="O133" s="492"/>
      <c r="P133" s="492"/>
      <c r="Q133" s="492"/>
      <c r="R133" s="492"/>
      <c r="S133" s="492"/>
      <c r="T133" s="492"/>
      <c r="U133" s="492"/>
      <c r="V133" s="492"/>
      <c r="W133" s="492"/>
      <c r="X133" s="492"/>
      <c r="Y133" s="492"/>
      <c r="Z133" s="492"/>
      <c r="AA133" s="492"/>
      <c r="AB133" s="492"/>
      <c r="AC133" s="492"/>
      <c r="AD133" s="492"/>
      <c r="AE133" s="492"/>
      <c r="AF133" s="492"/>
      <c r="AG133" s="492"/>
      <c r="AH133" s="492"/>
      <c r="AI133" s="492"/>
      <c r="AJ133" s="492"/>
      <c r="AK133" s="492"/>
      <c r="AL133" s="492"/>
      <c r="AM133" s="492"/>
      <c r="AN133" s="492"/>
      <c r="AO133" s="492"/>
      <c r="AP133" s="492"/>
      <c r="AQ133" s="492"/>
      <c r="AR133" s="492"/>
      <c r="AS133" s="492"/>
      <c r="AT133" s="492"/>
      <c r="AU133" s="492"/>
      <c r="AV133" s="492"/>
      <c r="AW133" s="492"/>
      <c r="AX133" s="492"/>
      <c r="AY133" s="492"/>
      <c r="AZ133" s="492"/>
    </row>
    <row r="134" spans="1:52" x14ac:dyDescent="0.2">
      <c r="A134" s="492"/>
      <c r="B134" s="492"/>
      <c r="C134" s="492"/>
      <c r="D134" s="492"/>
      <c r="E134" s="492"/>
      <c r="F134" s="492"/>
      <c r="G134" s="492"/>
      <c r="H134" s="492"/>
      <c r="I134" s="492"/>
      <c r="J134" s="492"/>
      <c r="K134" s="492"/>
      <c r="L134" s="492"/>
      <c r="M134" s="492"/>
      <c r="N134" s="492"/>
      <c r="O134" s="492"/>
      <c r="P134" s="492"/>
      <c r="Q134" s="492"/>
      <c r="R134" s="492"/>
      <c r="S134" s="492"/>
      <c r="T134" s="492"/>
      <c r="U134" s="492"/>
      <c r="V134" s="492"/>
      <c r="W134" s="492"/>
      <c r="X134" s="492"/>
      <c r="Y134" s="492"/>
      <c r="Z134" s="492"/>
      <c r="AA134" s="492"/>
      <c r="AB134" s="492"/>
      <c r="AC134" s="492"/>
      <c r="AD134" s="492"/>
      <c r="AE134" s="492"/>
      <c r="AF134" s="492"/>
      <c r="AG134" s="492"/>
      <c r="AH134" s="492"/>
      <c r="AI134" s="492"/>
      <c r="AJ134" s="492"/>
      <c r="AK134" s="492"/>
      <c r="AL134" s="492"/>
      <c r="AM134" s="492"/>
      <c r="AN134" s="492"/>
      <c r="AO134" s="492"/>
      <c r="AP134" s="492"/>
      <c r="AQ134" s="492"/>
      <c r="AR134" s="492"/>
      <c r="AS134" s="492"/>
      <c r="AT134" s="492"/>
      <c r="AU134" s="492"/>
      <c r="AV134" s="492"/>
      <c r="AW134" s="492"/>
      <c r="AX134" s="492"/>
      <c r="AY134" s="492"/>
      <c r="AZ134" s="492"/>
    </row>
    <row r="135" spans="1:52" x14ac:dyDescent="0.2">
      <c r="A135" s="492"/>
      <c r="B135" s="492"/>
      <c r="C135" s="492"/>
      <c r="D135" s="492"/>
      <c r="E135" s="492"/>
      <c r="F135" s="492"/>
      <c r="G135" s="492"/>
      <c r="H135" s="492"/>
      <c r="I135" s="492"/>
      <c r="J135" s="492"/>
      <c r="K135" s="492"/>
      <c r="L135" s="492"/>
      <c r="M135" s="492"/>
      <c r="N135" s="492"/>
      <c r="O135" s="492"/>
      <c r="P135" s="492"/>
      <c r="Q135" s="492"/>
      <c r="R135" s="492"/>
      <c r="S135" s="492"/>
      <c r="T135" s="492"/>
      <c r="U135" s="492"/>
      <c r="V135" s="492"/>
      <c r="W135" s="492"/>
      <c r="X135" s="492"/>
      <c r="Y135" s="492"/>
      <c r="Z135" s="492"/>
      <c r="AA135" s="492"/>
      <c r="AB135" s="492"/>
      <c r="AC135" s="492"/>
      <c r="AD135" s="492"/>
      <c r="AE135" s="492"/>
      <c r="AF135" s="492"/>
      <c r="AG135" s="492"/>
      <c r="AH135" s="492"/>
      <c r="AI135" s="492"/>
      <c r="AJ135" s="492"/>
      <c r="AK135" s="492"/>
      <c r="AL135" s="492"/>
      <c r="AM135" s="492"/>
      <c r="AN135" s="492"/>
      <c r="AO135" s="492"/>
      <c r="AP135" s="492"/>
      <c r="AQ135" s="492"/>
      <c r="AR135" s="492"/>
      <c r="AS135" s="492"/>
      <c r="AT135" s="492"/>
      <c r="AU135" s="492"/>
      <c r="AV135" s="492"/>
      <c r="AW135" s="492"/>
      <c r="AX135" s="492"/>
      <c r="AY135" s="492"/>
      <c r="AZ135" s="492"/>
    </row>
    <row r="136" spans="1:52" x14ac:dyDescent="0.2">
      <c r="A136" s="492"/>
      <c r="B136" s="492"/>
      <c r="C136" s="492"/>
      <c r="D136" s="492"/>
      <c r="E136" s="492"/>
      <c r="F136" s="492"/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2"/>
      <c r="R136" s="492"/>
      <c r="S136" s="492"/>
      <c r="T136" s="492"/>
      <c r="U136" s="492"/>
      <c r="V136" s="492"/>
      <c r="W136" s="492"/>
      <c r="X136" s="492"/>
      <c r="Y136" s="492"/>
      <c r="Z136" s="492"/>
      <c r="AA136" s="492"/>
      <c r="AB136" s="492"/>
      <c r="AC136" s="492"/>
      <c r="AD136" s="492"/>
      <c r="AE136" s="492"/>
      <c r="AF136" s="492"/>
      <c r="AG136" s="492"/>
      <c r="AH136" s="492"/>
      <c r="AI136" s="492"/>
      <c r="AJ136" s="492"/>
      <c r="AK136" s="492"/>
      <c r="AL136" s="492"/>
      <c r="AM136" s="492"/>
      <c r="AN136" s="492"/>
      <c r="AO136" s="492"/>
      <c r="AP136" s="492"/>
      <c r="AQ136" s="492"/>
      <c r="AR136" s="492"/>
      <c r="AS136" s="492"/>
      <c r="AT136" s="492"/>
      <c r="AU136" s="492"/>
      <c r="AV136" s="492"/>
      <c r="AW136" s="492"/>
      <c r="AX136" s="492"/>
      <c r="AY136" s="492"/>
      <c r="AZ136" s="492"/>
    </row>
    <row r="137" spans="1:52" x14ac:dyDescent="0.2">
      <c r="A137" s="492"/>
      <c r="B137" s="492"/>
      <c r="C137" s="492"/>
      <c r="D137" s="492"/>
      <c r="E137" s="492"/>
      <c r="F137" s="492"/>
      <c r="G137" s="492"/>
      <c r="H137" s="492"/>
      <c r="I137" s="492"/>
      <c r="J137" s="492"/>
      <c r="K137" s="492"/>
      <c r="L137" s="492"/>
      <c r="M137" s="492"/>
      <c r="N137" s="492"/>
      <c r="O137" s="492"/>
      <c r="P137" s="492"/>
      <c r="Q137" s="492"/>
      <c r="R137" s="492"/>
      <c r="S137" s="492"/>
      <c r="T137" s="492"/>
      <c r="U137" s="492"/>
      <c r="V137" s="492"/>
      <c r="W137" s="492"/>
      <c r="X137" s="492"/>
      <c r="Y137" s="492"/>
      <c r="Z137" s="492"/>
      <c r="AA137" s="492"/>
      <c r="AB137" s="492"/>
      <c r="AC137" s="492"/>
      <c r="AD137" s="492"/>
      <c r="AE137" s="492"/>
      <c r="AF137" s="492"/>
      <c r="AG137" s="492"/>
      <c r="AH137" s="492"/>
      <c r="AI137" s="492"/>
      <c r="AJ137" s="492"/>
      <c r="AK137" s="492"/>
      <c r="AL137" s="492"/>
      <c r="AM137" s="492"/>
      <c r="AN137" s="492"/>
      <c r="AO137" s="492"/>
      <c r="AP137" s="492"/>
      <c r="AQ137" s="492"/>
      <c r="AR137" s="492"/>
      <c r="AS137" s="492"/>
      <c r="AT137" s="492"/>
      <c r="AU137" s="492"/>
      <c r="AV137" s="492"/>
      <c r="AW137" s="492"/>
      <c r="AX137" s="492"/>
      <c r="AY137" s="492"/>
      <c r="AZ137" s="492"/>
    </row>
    <row r="138" spans="1:52" x14ac:dyDescent="0.2">
      <c r="A138" s="492"/>
      <c r="B138" s="492"/>
      <c r="C138" s="492"/>
      <c r="D138" s="492"/>
      <c r="E138" s="492"/>
      <c r="F138" s="492"/>
      <c r="G138" s="492"/>
      <c r="H138" s="492"/>
      <c r="I138" s="492"/>
      <c r="J138" s="492"/>
      <c r="K138" s="492"/>
      <c r="L138" s="492"/>
      <c r="M138" s="492"/>
      <c r="N138" s="492"/>
      <c r="O138" s="492"/>
      <c r="P138" s="492"/>
      <c r="Q138" s="492"/>
      <c r="R138" s="492"/>
      <c r="S138" s="492"/>
      <c r="T138" s="492"/>
      <c r="U138" s="492"/>
      <c r="V138" s="492"/>
      <c r="W138" s="492"/>
      <c r="X138" s="492"/>
      <c r="Y138" s="492"/>
      <c r="Z138" s="492"/>
      <c r="AA138" s="492"/>
      <c r="AB138" s="492"/>
      <c r="AC138" s="492"/>
      <c r="AD138" s="492"/>
      <c r="AE138" s="492"/>
      <c r="AF138" s="492"/>
      <c r="AG138" s="492"/>
      <c r="AH138" s="492"/>
      <c r="AI138" s="492"/>
      <c r="AJ138" s="492"/>
      <c r="AK138" s="492"/>
      <c r="AL138" s="492"/>
      <c r="AM138" s="492"/>
      <c r="AN138" s="492"/>
      <c r="AO138" s="492"/>
      <c r="AP138" s="492"/>
      <c r="AQ138" s="492"/>
      <c r="AR138" s="492"/>
      <c r="AS138" s="492"/>
      <c r="AT138" s="492"/>
      <c r="AU138" s="492"/>
      <c r="AV138" s="492"/>
      <c r="AW138" s="492"/>
      <c r="AX138" s="492"/>
      <c r="AY138" s="492"/>
      <c r="AZ138" s="492"/>
    </row>
    <row r="139" spans="1:52" x14ac:dyDescent="0.2">
      <c r="A139" s="492"/>
      <c r="B139" s="492"/>
      <c r="C139" s="492"/>
      <c r="D139" s="492"/>
      <c r="E139" s="492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2"/>
      <c r="R139" s="492"/>
      <c r="S139" s="492"/>
      <c r="T139" s="492"/>
      <c r="U139" s="492"/>
      <c r="V139" s="492"/>
      <c r="W139" s="492"/>
      <c r="X139" s="492"/>
      <c r="Y139" s="492"/>
      <c r="Z139" s="492"/>
      <c r="AA139" s="492"/>
      <c r="AB139" s="492"/>
      <c r="AC139" s="492"/>
      <c r="AD139" s="492"/>
      <c r="AE139" s="492"/>
      <c r="AF139" s="492"/>
      <c r="AG139" s="492"/>
      <c r="AH139" s="492"/>
      <c r="AI139" s="492"/>
      <c r="AJ139" s="492"/>
      <c r="AK139" s="492"/>
      <c r="AL139" s="492"/>
      <c r="AM139" s="492"/>
      <c r="AN139" s="492"/>
      <c r="AO139" s="492"/>
      <c r="AP139" s="492"/>
      <c r="AQ139" s="492"/>
      <c r="AR139" s="492"/>
      <c r="AS139" s="492"/>
      <c r="AT139" s="492"/>
      <c r="AU139" s="492"/>
      <c r="AV139" s="492"/>
      <c r="AW139" s="492"/>
      <c r="AX139" s="492"/>
      <c r="AY139" s="492"/>
      <c r="AZ139" s="492"/>
    </row>
    <row r="140" spans="1:52" x14ac:dyDescent="0.2">
      <c r="A140" s="492"/>
      <c r="B140" s="492"/>
      <c r="C140" s="492"/>
      <c r="D140" s="492"/>
      <c r="E140" s="492"/>
      <c r="F140" s="492"/>
      <c r="G140" s="492"/>
      <c r="H140" s="492"/>
      <c r="I140" s="492"/>
      <c r="J140" s="492"/>
      <c r="K140" s="492"/>
      <c r="L140" s="492"/>
      <c r="M140" s="492"/>
      <c r="N140" s="492"/>
      <c r="O140" s="492"/>
      <c r="P140" s="492"/>
      <c r="Q140" s="492"/>
      <c r="R140" s="492"/>
      <c r="S140" s="492"/>
      <c r="T140" s="492"/>
      <c r="U140" s="492"/>
      <c r="V140" s="492"/>
      <c r="W140" s="492"/>
      <c r="X140" s="492"/>
      <c r="Y140" s="492"/>
      <c r="Z140" s="492"/>
      <c r="AA140" s="492"/>
      <c r="AB140" s="492"/>
      <c r="AC140" s="492"/>
      <c r="AD140" s="492"/>
      <c r="AE140" s="492"/>
      <c r="AF140" s="492"/>
      <c r="AG140" s="492"/>
      <c r="AH140" s="492"/>
      <c r="AI140" s="492"/>
      <c r="AJ140" s="492"/>
      <c r="AK140" s="492"/>
      <c r="AL140" s="492"/>
      <c r="AM140" s="492"/>
      <c r="AN140" s="492"/>
      <c r="AO140" s="492"/>
      <c r="AP140" s="492"/>
      <c r="AQ140" s="492"/>
      <c r="AR140" s="492"/>
      <c r="AS140" s="492"/>
      <c r="AT140" s="492"/>
      <c r="AU140" s="492"/>
      <c r="AV140" s="492"/>
      <c r="AW140" s="492"/>
      <c r="AX140" s="492"/>
      <c r="AY140" s="492"/>
      <c r="AZ140" s="492"/>
    </row>
    <row r="141" spans="1:52" x14ac:dyDescent="0.2">
      <c r="A141" s="492"/>
      <c r="B141" s="492"/>
      <c r="C141" s="492"/>
      <c r="D141" s="492"/>
      <c r="E141" s="492"/>
      <c r="F141" s="492"/>
      <c r="G141" s="492"/>
      <c r="H141" s="492"/>
      <c r="I141" s="492"/>
      <c r="J141" s="492"/>
      <c r="K141" s="492"/>
      <c r="L141" s="492"/>
      <c r="M141" s="492"/>
      <c r="N141" s="492"/>
      <c r="O141" s="492"/>
      <c r="P141" s="492"/>
      <c r="Q141" s="492"/>
      <c r="R141" s="492"/>
      <c r="S141" s="492"/>
      <c r="T141" s="492"/>
      <c r="U141" s="492"/>
      <c r="V141" s="492"/>
      <c r="W141" s="492"/>
      <c r="X141" s="492"/>
      <c r="Y141" s="492"/>
      <c r="Z141" s="492"/>
      <c r="AA141" s="492"/>
      <c r="AB141" s="492"/>
      <c r="AC141" s="492"/>
      <c r="AD141" s="492"/>
      <c r="AE141" s="492"/>
      <c r="AF141" s="492"/>
      <c r="AG141" s="492"/>
      <c r="AH141" s="492"/>
      <c r="AI141" s="492"/>
      <c r="AJ141" s="492"/>
      <c r="AK141" s="492"/>
      <c r="AL141" s="492"/>
      <c r="AM141" s="492"/>
      <c r="AN141" s="492"/>
      <c r="AO141" s="492"/>
      <c r="AP141" s="492"/>
      <c r="AQ141" s="492"/>
      <c r="AR141" s="492"/>
      <c r="AS141" s="492"/>
      <c r="AT141" s="492"/>
      <c r="AU141" s="492"/>
      <c r="AV141" s="492"/>
      <c r="AW141" s="492"/>
      <c r="AX141" s="492"/>
      <c r="AY141" s="492"/>
      <c r="AZ141" s="492"/>
    </row>
    <row r="142" spans="1:52" x14ac:dyDescent="0.2">
      <c r="A142" s="492"/>
      <c r="B142" s="492"/>
      <c r="C142" s="492"/>
      <c r="D142" s="492"/>
      <c r="E142" s="492"/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2"/>
      <c r="R142" s="492"/>
      <c r="S142" s="492"/>
      <c r="T142" s="492"/>
      <c r="U142" s="492"/>
      <c r="V142" s="492"/>
      <c r="W142" s="492"/>
      <c r="X142" s="492"/>
      <c r="Y142" s="492"/>
      <c r="Z142" s="492"/>
      <c r="AA142" s="492"/>
      <c r="AB142" s="492"/>
      <c r="AC142" s="492"/>
      <c r="AD142" s="492"/>
      <c r="AE142" s="492"/>
      <c r="AF142" s="492"/>
      <c r="AG142" s="492"/>
      <c r="AH142" s="492"/>
      <c r="AI142" s="492"/>
      <c r="AJ142" s="492"/>
      <c r="AK142" s="492"/>
      <c r="AL142" s="492"/>
      <c r="AM142" s="492"/>
      <c r="AN142" s="492"/>
      <c r="AO142" s="492"/>
      <c r="AP142" s="492"/>
      <c r="AQ142" s="492"/>
      <c r="AR142" s="492"/>
      <c r="AS142" s="492"/>
      <c r="AT142" s="492"/>
      <c r="AU142" s="492"/>
      <c r="AV142" s="492"/>
      <c r="AW142" s="492"/>
      <c r="AX142" s="492"/>
      <c r="AY142" s="492"/>
      <c r="AZ142" s="492"/>
    </row>
    <row r="143" spans="1:52" x14ac:dyDescent="0.2">
      <c r="A143" s="492"/>
      <c r="B143" s="492"/>
      <c r="C143" s="492"/>
      <c r="D143" s="492"/>
      <c r="E143" s="492"/>
      <c r="F143" s="492"/>
      <c r="G143" s="492"/>
      <c r="H143" s="492"/>
      <c r="I143" s="492"/>
      <c r="J143" s="492"/>
      <c r="K143" s="492"/>
      <c r="L143" s="492"/>
      <c r="M143" s="492"/>
      <c r="N143" s="492"/>
      <c r="O143" s="492"/>
      <c r="P143" s="492"/>
      <c r="Q143" s="492"/>
      <c r="R143" s="492"/>
      <c r="S143" s="492"/>
      <c r="T143" s="492"/>
      <c r="U143" s="492"/>
      <c r="V143" s="492"/>
      <c r="W143" s="492"/>
      <c r="X143" s="492"/>
      <c r="Y143" s="492"/>
      <c r="Z143" s="492"/>
      <c r="AA143" s="492"/>
      <c r="AB143" s="492"/>
      <c r="AC143" s="492"/>
      <c r="AD143" s="492"/>
      <c r="AE143" s="492"/>
      <c r="AF143" s="492"/>
      <c r="AG143" s="492"/>
      <c r="AH143" s="492"/>
      <c r="AI143" s="492"/>
      <c r="AJ143" s="492"/>
      <c r="AK143" s="492"/>
      <c r="AL143" s="492"/>
      <c r="AM143" s="492"/>
      <c r="AN143" s="492"/>
      <c r="AO143" s="492"/>
      <c r="AP143" s="492"/>
      <c r="AQ143" s="492"/>
      <c r="AR143" s="492"/>
      <c r="AS143" s="492"/>
      <c r="AT143" s="492"/>
      <c r="AU143" s="492"/>
      <c r="AV143" s="492"/>
      <c r="AW143" s="492"/>
      <c r="AX143" s="492"/>
      <c r="AY143" s="492"/>
      <c r="AZ143" s="492"/>
    </row>
    <row r="144" spans="1:52" x14ac:dyDescent="0.2">
      <c r="A144" s="492"/>
      <c r="B144" s="492"/>
      <c r="C144" s="492"/>
      <c r="D144" s="492"/>
      <c r="E144" s="492"/>
      <c r="F144" s="492"/>
      <c r="G144" s="492"/>
      <c r="H144" s="492"/>
      <c r="I144" s="492"/>
      <c r="J144" s="492"/>
      <c r="K144" s="492"/>
      <c r="L144" s="492"/>
      <c r="M144" s="492"/>
      <c r="N144" s="492"/>
      <c r="O144" s="492"/>
      <c r="P144" s="492"/>
      <c r="Q144" s="492"/>
      <c r="R144" s="492"/>
      <c r="S144" s="492"/>
      <c r="T144" s="492"/>
      <c r="U144" s="492"/>
      <c r="V144" s="492"/>
      <c r="W144" s="492"/>
      <c r="X144" s="492"/>
      <c r="Y144" s="492"/>
      <c r="Z144" s="492"/>
      <c r="AA144" s="492"/>
      <c r="AB144" s="492"/>
      <c r="AC144" s="492"/>
      <c r="AD144" s="492"/>
      <c r="AE144" s="492"/>
      <c r="AF144" s="492"/>
      <c r="AG144" s="492"/>
      <c r="AH144" s="492"/>
      <c r="AI144" s="492"/>
      <c r="AJ144" s="492"/>
      <c r="AK144" s="492"/>
      <c r="AL144" s="492"/>
      <c r="AM144" s="492"/>
      <c r="AN144" s="492"/>
      <c r="AO144" s="492"/>
      <c r="AP144" s="492"/>
      <c r="AQ144" s="492"/>
      <c r="AR144" s="492"/>
      <c r="AS144" s="492"/>
      <c r="AT144" s="492"/>
      <c r="AU144" s="492"/>
      <c r="AV144" s="492"/>
      <c r="AW144" s="492"/>
      <c r="AX144" s="492"/>
      <c r="AY144" s="492"/>
      <c r="AZ144" s="492"/>
    </row>
    <row r="145" spans="1:52" x14ac:dyDescent="0.2">
      <c r="A145" s="492"/>
      <c r="B145" s="492"/>
      <c r="C145" s="492"/>
      <c r="D145" s="492"/>
      <c r="E145" s="492"/>
      <c r="F145" s="492"/>
      <c r="G145" s="492"/>
      <c r="H145" s="492"/>
      <c r="I145" s="492"/>
      <c r="J145" s="492"/>
      <c r="K145" s="492"/>
      <c r="L145" s="492"/>
      <c r="M145" s="492"/>
      <c r="N145" s="492"/>
      <c r="O145" s="492"/>
      <c r="P145" s="492"/>
      <c r="Q145" s="492"/>
      <c r="R145" s="492"/>
      <c r="S145" s="492"/>
      <c r="T145" s="492"/>
      <c r="U145" s="492"/>
      <c r="V145" s="492"/>
      <c r="W145" s="492"/>
      <c r="X145" s="492"/>
      <c r="Y145" s="492"/>
      <c r="Z145" s="492"/>
      <c r="AA145" s="492"/>
      <c r="AB145" s="492"/>
      <c r="AC145" s="492"/>
      <c r="AD145" s="492"/>
      <c r="AE145" s="492"/>
      <c r="AF145" s="492"/>
      <c r="AG145" s="492"/>
      <c r="AH145" s="492"/>
      <c r="AI145" s="492"/>
      <c r="AJ145" s="492"/>
      <c r="AK145" s="492"/>
      <c r="AL145" s="492"/>
      <c r="AM145" s="492"/>
      <c r="AN145" s="492"/>
      <c r="AO145" s="492"/>
      <c r="AP145" s="492"/>
      <c r="AQ145" s="492"/>
      <c r="AR145" s="492"/>
      <c r="AS145" s="492"/>
      <c r="AT145" s="492"/>
      <c r="AU145" s="492"/>
      <c r="AV145" s="492"/>
      <c r="AW145" s="492"/>
      <c r="AX145" s="492"/>
      <c r="AY145" s="492"/>
      <c r="AZ145" s="492"/>
    </row>
    <row r="146" spans="1:52" x14ac:dyDescent="0.2">
      <c r="A146" s="492"/>
      <c r="B146" s="492"/>
      <c r="C146" s="492"/>
      <c r="D146" s="492"/>
      <c r="E146" s="492"/>
      <c r="F146" s="492"/>
      <c r="G146" s="492"/>
      <c r="H146" s="492"/>
      <c r="I146" s="492"/>
      <c r="J146" s="492"/>
      <c r="K146" s="492"/>
      <c r="L146" s="492"/>
      <c r="M146" s="492"/>
      <c r="N146" s="492"/>
      <c r="O146" s="492"/>
      <c r="P146" s="492"/>
      <c r="Q146" s="492"/>
      <c r="R146" s="492"/>
      <c r="S146" s="492"/>
      <c r="T146" s="492"/>
      <c r="U146" s="492"/>
      <c r="V146" s="492"/>
      <c r="W146" s="492"/>
      <c r="X146" s="492"/>
      <c r="Y146" s="492"/>
      <c r="Z146" s="492"/>
      <c r="AA146" s="492"/>
      <c r="AB146" s="492"/>
      <c r="AC146" s="492"/>
      <c r="AD146" s="492"/>
      <c r="AE146" s="492"/>
      <c r="AF146" s="492"/>
      <c r="AG146" s="492"/>
      <c r="AH146" s="492"/>
      <c r="AI146" s="492"/>
      <c r="AJ146" s="492"/>
      <c r="AK146" s="492"/>
      <c r="AL146" s="492"/>
      <c r="AM146" s="492"/>
      <c r="AN146" s="492"/>
      <c r="AO146" s="492"/>
      <c r="AP146" s="492"/>
      <c r="AQ146" s="492"/>
      <c r="AR146" s="492"/>
      <c r="AS146" s="492"/>
      <c r="AT146" s="492"/>
      <c r="AU146" s="492"/>
      <c r="AV146" s="492"/>
      <c r="AW146" s="492"/>
      <c r="AX146" s="492"/>
      <c r="AY146" s="492"/>
      <c r="AZ146" s="492"/>
    </row>
    <row r="147" spans="1:52" x14ac:dyDescent="0.2">
      <c r="A147" s="492"/>
      <c r="B147" s="492"/>
      <c r="C147" s="492"/>
      <c r="D147" s="492"/>
      <c r="E147" s="492"/>
      <c r="F147" s="492"/>
      <c r="G147" s="492"/>
      <c r="H147" s="492"/>
      <c r="I147" s="492"/>
      <c r="J147" s="492"/>
      <c r="K147" s="492"/>
      <c r="L147" s="492"/>
      <c r="M147" s="492"/>
      <c r="N147" s="492"/>
      <c r="O147" s="492"/>
      <c r="P147" s="492"/>
      <c r="Q147" s="492"/>
      <c r="R147" s="492"/>
      <c r="S147" s="492"/>
      <c r="T147" s="492"/>
      <c r="U147" s="492"/>
      <c r="V147" s="492"/>
      <c r="W147" s="492"/>
      <c r="X147" s="492"/>
      <c r="Y147" s="492"/>
      <c r="Z147" s="492"/>
      <c r="AA147" s="492"/>
      <c r="AB147" s="492"/>
      <c r="AC147" s="492"/>
      <c r="AD147" s="492"/>
      <c r="AE147" s="492"/>
      <c r="AF147" s="492"/>
      <c r="AG147" s="492"/>
      <c r="AH147" s="492"/>
      <c r="AI147" s="492"/>
      <c r="AJ147" s="492"/>
      <c r="AK147" s="492"/>
      <c r="AL147" s="492"/>
      <c r="AM147" s="492"/>
      <c r="AN147" s="492"/>
      <c r="AO147" s="492"/>
      <c r="AP147" s="492"/>
      <c r="AQ147" s="492"/>
      <c r="AR147" s="492"/>
      <c r="AS147" s="492"/>
      <c r="AT147" s="492"/>
      <c r="AU147" s="492"/>
      <c r="AV147" s="492"/>
      <c r="AW147" s="492"/>
      <c r="AX147" s="492"/>
      <c r="AY147" s="492"/>
      <c r="AZ147" s="492"/>
    </row>
    <row r="148" spans="1:52" x14ac:dyDescent="0.2">
      <c r="A148" s="492"/>
      <c r="B148" s="492"/>
      <c r="C148" s="492"/>
      <c r="D148" s="492"/>
      <c r="E148" s="492"/>
      <c r="F148" s="492"/>
      <c r="G148" s="492"/>
      <c r="H148" s="492"/>
      <c r="I148" s="492"/>
      <c r="J148" s="492"/>
      <c r="K148" s="492"/>
      <c r="L148" s="492"/>
      <c r="M148" s="492"/>
      <c r="N148" s="492"/>
      <c r="O148" s="492"/>
      <c r="P148" s="492"/>
      <c r="Q148" s="492"/>
      <c r="R148" s="492"/>
      <c r="S148" s="492"/>
      <c r="T148" s="492"/>
      <c r="U148" s="492"/>
      <c r="V148" s="492"/>
      <c r="W148" s="492"/>
      <c r="X148" s="492"/>
      <c r="Y148" s="492"/>
      <c r="Z148" s="492"/>
      <c r="AA148" s="492"/>
      <c r="AB148" s="492"/>
      <c r="AC148" s="492"/>
      <c r="AD148" s="492"/>
      <c r="AE148" s="492"/>
      <c r="AF148" s="492"/>
      <c r="AG148" s="492"/>
      <c r="AH148" s="492"/>
      <c r="AI148" s="492"/>
      <c r="AJ148" s="492"/>
      <c r="AK148" s="492"/>
      <c r="AL148" s="492"/>
      <c r="AM148" s="492"/>
      <c r="AN148" s="492"/>
      <c r="AO148" s="492"/>
      <c r="AP148" s="492"/>
      <c r="AQ148" s="492"/>
      <c r="AR148" s="492"/>
      <c r="AS148" s="492"/>
      <c r="AT148" s="492"/>
      <c r="AU148" s="492"/>
      <c r="AV148" s="492"/>
      <c r="AW148" s="492"/>
      <c r="AX148" s="492"/>
      <c r="AY148" s="492"/>
      <c r="AZ148" s="492"/>
    </row>
    <row r="149" spans="1:52" x14ac:dyDescent="0.2">
      <c r="A149" s="492"/>
      <c r="B149" s="492"/>
      <c r="C149" s="492"/>
      <c r="D149" s="492"/>
      <c r="E149" s="492"/>
      <c r="F149" s="492"/>
      <c r="G149" s="492"/>
      <c r="H149" s="492"/>
      <c r="I149" s="492"/>
      <c r="J149" s="492"/>
      <c r="K149" s="492"/>
      <c r="L149" s="492"/>
      <c r="M149" s="492"/>
      <c r="N149" s="492"/>
      <c r="O149" s="492"/>
      <c r="P149" s="492"/>
      <c r="Q149" s="492"/>
      <c r="R149" s="492"/>
      <c r="S149" s="492"/>
      <c r="T149" s="492"/>
      <c r="U149" s="492"/>
      <c r="V149" s="492"/>
      <c r="W149" s="492"/>
      <c r="X149" s="492"/>
      <c r="Y149" s="492"/>
      <c r="Z149" s="492"/>
      <c r="AA149" s="492"/>
      <c r="AB149" s="492"/>
      <c r="AC149" s="492"/>
      <c r="AD149" s="492"/>
      <c r="AE149" s="492"/>
      <c r="AF149" s="492"/>
      <c r="AG149" s="492"/>
      <c r="AH149" s="492"/>
      <c r="AI149" s="492"/>
      <c r="AJ149" s="492"/>
      <c r="AK149" s="492"/>
      <c r="AL149" s="492"/>
      <c r="AM149" s="492"/>
      <c r="AN149" s="492"/>
      <c r="AO149" s="492"/>
      <c r="AP149" s="492"/>
      <c r="AQ149" s="492"/>
      <c r="AR149" s="492"/>
      <c r="AS149" s="492"/>
      <c r="AT149" s="492"/>
      <c r="AU149" s="492"/>
      <c r="AV149" s="492"/>
      <c r="AW149" s="492"/>
      <c r="AX149" s="492"/>
      <c r="AY149" s="492"/>
      <c r="AZ149" s="492"/>
    </row>
    <row r="150" spans="1:52" x14ac:dyDescent="0.2">
      <c r="A150" s="492"/>
      <c r="B150" s="492"/>
      <c r="C150" s="492"/>
      <c r="D150" s="492"/>
      <c r="E150" s="492"/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2"/>
      <c r="R150" s="492"/>
      <c r="S150" s="492"/>
      <c r="T150" s="492"/>
      <c r="U150" s="492"/>
      <c r="V150" s="492"/>
      <c r="W150" s="492"/>
      <c r="X150" s="492"/>
      <c r="Y150" s="492"/>
      <c r="Z150" s="492"/>
      <c r="AA150" s="492"/>
      <c r="AB150" s="492"/>
      <c r="AC150" s="492"/>
      <c r="AD150" s="492"/>
      <c r="AE150" s="492"/>
      <c r="AF150" s="492"/>
      <c r="AG150" s="492"/>
      <c r="AH150" s="492"/>
      <c r="AI150" s="492"/>
      <c r="AJ150" s="492"/>
      <c r="AK150" s="492"/>
      <c r="AL150" s="492"/>
      <c r="AM150" s="492"/>
      <c r="AN150" s="492"/>
      <c r="AO150" s="492"/>
      <c r="AP150" s="492"/>
      <c r="AQ150" s="492"/>
      <c r="AR150" s="492"/>
      <c r="AS150" s="492"/>
      <c r="AT150" s="492"/>
      <c r="AU150" s="492"/>
      <c r="AV150" s="492"/>
      <c r="AW150" s="492"/>
      <c r="AX150" s="492"/>
      <c r="AY150" s="492"/>
      <c r="AZ150" s="492"/>
    </row>
    <row r="151" spans="1:52" x14ac:dyDescent="0.2">
      <c r="A151" s="492"/>
      <c r="B151" s="492"/>
      <c r="C151" s="492"/>
      <c r="D151" s="492"/>
      <c r="E151" s="492"/>
      <c r="F151" s="492"/>
      <c r="G151" s="492"/>
      <c r="H151" s="492"/>
      <c r="I151" s="492"/>
      <c r="J151" s="492"/>
      <c r="K151" s="492"/>
      <c r="L151" s="492"/>
      <c r="M151" s="492"/>
      <c r="N151" s="492"/>
      <c r="O151" s="492"/>
      <c r="P151" s="492"/>
      <c r="Q151" s="492"/>
      <c r="R151" s="492"/>
      <c r="S151" s="492"/>
      <c r="T151" s="492"/>
      <c r="U151" s="492"/>
      <c r="V151" s="492"/>
      <c r="W151" s="492"/>
      <c r="X151" s="492"/>
      <c r="Y151" s="492"/>
      <c r="Z151" s="492"/>
      <c r="AA151" s="492"/>
      <c r="AB151" s="492"/>
      <c r="AC151" s="492"/>
      <c r="AD151" s="492"/>
      <c r="AE151" s="492"/>
      <c r="AF151" s="492"/>
      <c r="AG151" s="492"/>
      <c r="AH151" s="492"/>
      <c r="AI151" s="492"/>
      <c r="AJ151" s="492"/>
      <c r="AK151" s="492"/>
      <c r="AL151" s="492"/>
      <c r="AM151" s="492"/>
      <c r="AN151" s="492"/>
      <c r="AO151" s="492"/>
      <c r="AP151" s="492"/>
      <c r="AQ151" s="492"/>
      <c r="AR151" s="492"/>
      <c r="AS151" s="492"/>
      <c r="AT151" s="492"/>
      <c r="AU151" s="492"/>
      <c r="AV151" s="492"/>
      <c r="AW151" s="492"/>
      <c r="AX151" s="492"/>
      <c r="AY151" s="492"/>
      <c r="AZ151" s="492"/>
    </row>
    <row r="152" spans="1:52" x14ac:dyDescent="0.2">
      <c r="A152" s="492"/>
      <c r="B152" s="492"/>
      <c r="C152" s="492"/>
      <c r="D152" s="492"/>
      <c r="E152" s="492"/>
      <c r="F152" s="492"/>
      <c r="G152" s="492"/>
      <c r="H152" s="492"/>
      <c r="I152" s="492"/>
      <c r="J152" s="492"/>
      <c r="K152" s="492"/>
      <c r="L152" s="492"/>
      <c r="M152" s="492"/>
      <c r="N152" s="492"/>
      <c r="O152" s="492"/>
      <c r="P152" s="492"/>
      <c r="Q152" s="492"/>
      <c r="R152" s="492"/>
      <c r="S152" s="492"/>
      <c r="T152" s="492"/>
      <c r="U152" s="492"/>
      <c r="V152" s="492"/>
      <c r="W152" s="492"/>
      <c r="X152" s="492"/>
      <c r="Y152" s="492"/>
      <c r="Z152" s="492"/>
      <c r="AA152" s="492"/>
      <c r="AB152" s="492"/>
      <c r="AC152" s="492"/>
      <c r="AD152" s="492"/>
      <c r="AE152" s="492"/>
      <c r="AF152" s="492"/>
      <c r="AG152" s="492"/>
      <c r="AH152" s="492"/>
      <c r="AI152" s="492"/>
      <c r="AJ152" s="492"/>
      <c r="AK152" s="492"/>
      <c r="AL152" s="492"/>
      <c r="AM152" s="492"/>
      <c r="AN152" s="492"/>
      <c r="AO152" s="492"/>
      <c r="AP152" s="492"/>
      <c r="AQ152" s="492"/>
      <c r="AR152" s="492"/>
      <c r="AS152" s="492"/>
      <c r="AT152" s="492"/>
      <c r="AU152" s="492"/>
      <c r="AV152" s="492"/>
      <c r="AW152" s="492"/>
      <c r="AX152" s="492"/>
      <c r="AY152" s="492"/>
      <c r="AZ152" s="492"/>
    </row>
    <row r="153" spans="1:52" x14ac:dyDescent="0.2">
      <c r="A153" s="492"/>
      <c r="B153" s="492"/>
      <c r="C153" s="492"/>
      <c r="D153" s="492"/>
      <c r="E153" s="492"/>
      <c r="F153" s="492"/>
      <c r="G153" s="492"/>
      <c r="H153" s="492"/>
      <c r="I153" s="492"/>
      <c r="J153" s="492"/>
      <c r="K153" s="492"/>
      <c r="L153" s="492"/>
      <c r="M153" s="492"/>
      <c r="N153" s="492"/>
      <c r="O153" s="492"/>
      <c r="P153" s="492"/>
      <c r="Q153" s="492"/>
      <c r="R153" s="492"/>
      <c r="S153" s="492"/>
      <c r="T153" s="492"/>
      <c r="U153" s="492"/>
      <c r="V153" s="492"/>
      <c r="W153" s="492"/>
      <c r="X153" s="492"/>
      <c r="Y153" s="492"/>
      <c r="Z153" s="492"/>
      <c r="AA153" s="492"/>
      <c r="AB153" s="492"/>
      <c r="AC153" s="492"/>
      <c r="AD153" s="492"/>
      <c r="AE153" s="492"/>
      <c r="AF153" s="492"/>
      <c r="AG153" s="492"/>
      <c r="AH153" s="492"/>
      <c r="AI153" s="492"/>
      <c r="AJ153" s="492"/>
      <c r="AK153" s="492"/>
      <c r="AL153" s="492"/>
      <c r="AM153" s="492"/>
      <c r="AN153" s="492"/>
      <c r="AO153" s="492"/>
      <c r="AP153" s="492"/>
      <c r="AQ153" s="492"/>
      <c r="AR153" s="492"/>
      <c r="AS153" s="492"/>
      <c r="AT153" s="492"/>
      <c r="AU153" s="492"/>
      <c r="AV153" s="492"/>
      <c r="AW153" s="492"/>
      <c r="AX153" s="492"/>
      <c r="AY153" s="492"/>
      <c r="AZ153" s="492"/>
    </row>
    <row r="154" spans="1:52" x14ac:dyDescent="0.2">
      <c r="A154" s="492"/>
      <c r="B154" s="492"/>
      <c r="C154" s="492"/>
      <c r="D154" s="492"/>
      <c r="E154" s="492"/>
      <c r="F154" s="492"/>
      <c r="G154" s="492"/>
      <c r="H154" s="492"/>
      <c r="I154" s="492"/>
      <c r="J154" s="492"/>
      <c r="K154" s="492"/>
      <c r="L154" s="492"/>
      <c r="M154" s="492"/>
      <c r="N154" s="492"/>
      <c r="O154" s="492"/>
      <c r="P154" s="492"/>
      <c r="Q154" s="492"/>
      <c r="R154" s="492"/>
      <c r="S154" s="492"/>
      <c r="T154" s="492"/>
      <c r="U154" s="492"/>
      <c r="V154" s="492"/>
      <c r="W154" s="492"/>
      <c r="X154" s="492"/>
      <c r="Y154" s="492"/>
      <c r="Z154" s="492"/>
      <c r="AA154" s="492"/>
      <c r="AB154" s="492"/>
      <c r="AC154" s="492"/>
      <c r="AD154" s="492"/>
      <c r="AE154" s="492"/>
      <c r="AF154" s="492"/>
      <c r="AG154" s="492"/>
      <c r="AH154" s="492"/>
      <c r="AI154" s="492"/>
      <c r="AJ154" s="492"/>
      <c r="AK154" s="492"/>
      <c r="AL154" s="492"/>
      <c r="AM154" s="492"/>
      <c r="AN154" s="492"/>
      <c r="AO154" s="492"/>
      <c r="AP154" s="492"/>
      <c r="AQ154" s="492"/>
      <c r="AR154" s="492"/>
      <c r="AS154" s="492"/>
      <c r="AT154" s="492"/>
      <c r="AU154" s="492"/>
      <c r="AV154" s="492"/>
      <c r="AW154" s="492"/>
      <c r="AX154" s="492"/>
      <c r="AY154" s="492"/>
      <c r="AZ154" s="492"/>
    </row>
    <row r="155" spans="1:52" x14ac:dyDescent="0.2">
      <c r="A155" s="492"/>
      <c r="B155" s="492"/>
      <c r="C155" s="492"/>
      <c r="D155" s="492"/>
      <c r="E155" s="492"/>
      <c r="F155" s="492"/>
      <c r="G155" s="492"/>
      <c r="H155" s="492"/>
      <c r="I155" s="492"/>
      <c r="J155" s="492"/>
      <c r="K155" s="492"/>
      <c r="L155" s="492"/>
      <c r="M155" s="492"/>
      <c r="N155" s="492"/>
      <c r="O155" s="492"/>
      <c r="P155" s="492"/>
      <c r="Q155" s="492"/>
      <c r="R155" s="492"/>
      <c r="S155" s="492"/>
      <c r="T155" s="492"/>
      <c r="U155" s="492"/>
      <c r="V155" s="492"/>
      <c r="W155" s="492"/>
      <c r="X155" s="492"/>
      <c r="Y155" s="492"/>
      <c r="Z155" s="492"/>
      <c r="AA155" s="492"/>
      <c r="AB155" s="492"/>
      <c r="AC155" s="492"/>
      <c r="AD155" s="492"/>
      <c r="AE155" s="492"/>
      <c r="AF155" s="492"/>
      <c r="AG155" s="492"/>
      <c r="AH155" s="492"/>
      <c r="AI155" s="492"/>
      <c r="AJ155" s="492"/>
      <c r="AK155" s="492"/>
      <c r="AL155" s="492"/>
      <c r="AM155" s="492"/>
      <c r="AN155" s="492"/>
      <c r="AO155" s="492"/>
      <c r="AP155" s="492"/>
      <c r="AQ155" s="492"/>
      <c r="AR155" s="492"/>
      <c r="AS155" s="492"/>
      <c r="AT155" s="492"/>
      <c r="AU155" s="492"/>
      <c r="AV155" s="492"/>
      <c r="AW155" s="492"/>
      <c r="AX155" s="492"/>
      <c r="AY155" s="492"/>
      <c r="AZ155" s="492"/>
    </row>
    <row r="156" spans="1:52" x14ac:dyDescent="0.2">
      <c r="A156" s="492"/>
      <c r="B156" s="492"/>
      <c r="C156" s="492"/>
      <c r="D156" s="492"/>
      <c r="E156" s="492"/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2"/>
      <c r="R156" s="492"/>
      <c r="S156" s="492"/>
      <c r="T156" s="492"/>
      <c r="U156" s="492"/>
      <c r="V156" s="492"/>
      <c r="W156" s="492"/>
      <c r="X156" s="492"/>
      <c r="Y156" s="492"/>
      <c r="Z156" s="492"/>
      <c r="AA156" s="492"/>
      <c r="AB156" s="492"/>
      <c r="AC156" s="492"/>
      <c r="AD156" s="492"/>
      <c r="AE156" s="492"/>
      <c r="AF156" s="492"/>
      <c r="AG156" s="492"/>
      <c r="AH156" s="492"/>
      <c r="AI156" s="492"/>
      <c r="AJ156" s="492"/>
      <c r="AK156" s="492"/>
      <c r="AL156" s="492"/>
      <c r="AM156" s="492"/>
      <c r="AN156" s="492"/>
      <c r="AO156" s="492"/>
      <c r="AP156" s="492"/>
      <c r="AQ156" s="492"/>
      <c r="AR156" s="492"/>
      <c r="AS156" s="492"/>
      <c r="AT156" s="492"/>
      <c r="AU156" s="492"/>
      <c r="AV156" s="492"/>
      <c r="AW156" s="492"/>
      <c r="AX156" s="492"/>
      <c r="AY156" s="492"/>
      <c r="AZ156" s="492"/>
    </row>
    <row r="157" spans="1:52" x14ac:dyDescent="0.2">
      <c r="A157" s="492"/>
      <c r="B157" s="492"/>
      <c r="C157" s="492"/>
      <c r="D157" s="492"/>
      <c r="E157" s="492"/>
      <c r="F157" s="492"/>
      <c r="G157" s="492"/>
      <c r="H157" s="492"/>
      <c r="I157" s="492"/>
      <c r="J157" s="492"/>
      <c r="K157" s="492"/>
      <c r="L157" s="492"/>
      <c r="M157" s="492"/>
      <c r="N157" s="492"/>
      <c r="O157" s="492"/>
      <c r="P157" s="492"/>
      <c r="Q157" s="492"/>
      <c r="R157" s="492"/>
      <c r="S157" s="492"/>
      <c r="T157" s="492"/>
      <c r="U157" s="492"/>
      <c r="V157" s="492"/>
      <c r="W157" s="492"/>
      <c r="X157" s="492"/>
      <c r="Y157" s="492"/>
      <c r="Z157" s="492"/>
      <c r="AA157" s="492"/>
      <c r="AB157" s="492"/>
      <c r="AC157" s="492"/>
      <c r="AD157" s="492"/>
      <c r="AE157" s="492"/>
      <c r="AF157" s="492"/>
      <c r="AG157" s="492"/>
      <c r="AH157" s="492"/>
      <c r="AI157" s="492"/>
      <c r="AJ157" s="492"/>
      <c r="AK157" s="492"/>
      <c r="AL157" s="492"/>
      <c r="AM157" s="492"/>
      <c r="AN157" s="492"/>
      <c r="AO157" s="492"/>
      <c r="AP157" s="492"/>
      <c r="AQ157" s="492"/>
      <c r="AR157" s="492"/>
      <c r="AS157" s="492"/>
      <c r="AT157" s="492"/>
      <c r="AU157" s="492"/>
      <c r="AV157" s="492"/>
      <c r="AW157" s="492"/>
      <c r="AX157" s="492"/>
      <c r="AY157" s="492"/>
      <c r="AZ157" s="492"/>
    </row>
    <row r="158" spans="1:52" x14ac:dyDescent="0.2">
      <c r="A158" s="492"/>
      <c r="B158" s="492"/>
      <c r="C158" s="492"/>
      <c r="D158" s="492"/>
      <c r="E158" s="492"/>
      <c r="F158" s="492"/>
      <c r="G158" s="492"/>
      <c r="H158" s="492"/>
      <c r="I158" s="492"/>
      <c r="J158" s="492"/>
      <c r="K158" s="492"/>
      <c r="L158" s="492"/>
      <c r="M158" s="492"/>
      <c r="N158" s="492"/>
      <c r="O158" s="492"/>
      <c r="P158" s="492"/>
      <c r="Q158" s="492"/>
      <c r="R158" s="492"/>
      <c r="S158" s="492"/>
      <c r="T158" s="492"/>
      <c r="U158" s="492"/>
      <c r="V158" s="492"/>
      <c r="W158" s="492"/>
      <c r="X158" s="492"/>
      <c r="Y158" s="492"/>
      <c r="Z158" s="492"/>
      <c r="AA158" s="492"/>
      <c r="AB158" s="492"/>
      <c r="AC158" s="492"/>
      <c r="AD158" s="492"/>
      <c r="AE158" s="492"/>
      <c r="AF158" s="492"/>
      <c r="AG158" s="492"/>
      <c r="AH158" s="492"/>
      <c r="AI158" s="492"/>
      <c r="AJ158" s="492"/>
      <c r="AK158" s="492"/>
      <c r="AL158" s="492"/>
      <c r="AM158" s="492"/>
      <c r="AN158" s="492"/>
      <c r="AO158" s="492"/>
      <c r="AP158" s="492"/>
      <c r="AQ158" s="492"/>
      <c r="AR158" s="492"/>
      <c r="AS158" s="492"/>
      <c r="AT158" s="492"/>
      <c r="AU158" s="492"/>
      <c r="AV158" s="492"/>
      <c r="AW158" s="492"/>
      <c r="AX158" s="492"/>
      <c r="AY158" s="492"/>
      <c r="AZ158" s="492"/>
    </row>
    <row r="159" spans="1:52" x14ac:dyDescent="0.2">
      <c r="A159" s="492"/>
      <c r="B159" s="492"/>
      <c r="C159" s="492"/>
      <c r="D159" s="492"/>
      <c r="E159" s="492"/>
      <c r="F159" s="492"/>
      <c r="G159" s="492"/>
      <c r="H159" s="492"/>
      <c r="I159" s="492"/>
      <c r="J159" s="492"/>
      <c r="K159" s="492"/>
      <c r="L159" s="492"/>
      <c r="M159" s="492"/>
      <c r="N159" s="492"/>
      <c r="O159" s="492"/>
      <c r="P159" s="492"/>
      <c r="Q159" s="492"/>
      <c r="R159" s="492"/>
      <c r="S159" s="492"/>
      <c r="T159" s="492"/>
      <c r="U159" s="492"/>
      <c r="V159" s="492"/>
      <c r="W159" s="492"/>
      <c r="X159" s="492"/>
      <c r="Y159" s="492"/>
      <c r="Z159" s="492"/>
      <c r="AA159" s="492"/>
      <c r="AB159" s="492"/>
      <c r="AC159" s="492"/>
      <c r="AD159" s="492"/>
      <c r="AE159" s="492"/>
      <c r="AF159" s="492"/>
      <c r="AG159" s="492"/>
      <c r="AH159" s="492"/>
      <c r="AI159" s="492"/>
      <c r="AJ159" s="492"/>
      <c r="AK159" s="492"/>
      <c r="AL159" s="492"/>
      <c r="AM159" s="492"/>
      <c r="AN159" s="492"/>
      <c r="AO159" s="492"/>
      <c r="AP159" s="492"/>
      <c r="AQ159" s="492"/>
      <c r="AR159" s="492"/>
      <c r="AS159" s="492"/>
      <c r="AT159" s="492"/>
      <c r="AU159" s="492"/>
      <c r="AV159" s="492"/>
      <c r="AW159" s="492"/>
      <c r="AX159" s="492"/>
      <c r="AY159" s="492"/>
      <c r="AZ159" s="492"/>
    </row>
    <row r="160" spans="1:52" x14ac:dyDescent="0.2">
      <c r="A160" s="492"/>
      <c r="B160" s="492"/>
      <c r="C160" s="492"/>
      <c r="D160" s="492"/>
      <c r="E160" s="492"/>
      <c r="F160" s="492"/>
      <c r="G160" s="492"/>
      <c r="H160" s="492"/>
      <c r="I160" s="492"/>
      <c r="J160" s="492"/>
      <c r="K160" s="492"/>
      <c r="L160" s="492"/>
      <c r="M160" s="492"/>
      <c r="N160" s="492"/>
      <c r="O160" s="492"/>
      <c r="P160" s="492"/>
      <c r="Q160" s="492"/>
      <c r="R160" s="492"/>
      <c r="S160" s="492"/>
      <c r="T160" s="492"/>
      <c r="U160" s="492"/>
      <c r="V160" s="492"/>
      <c r="W160" s="492"/>
      <c r="X160" s="492"/>
      <c r="Y160" s="492"/>
      <c r="Z160" s="492"/>
      <c r="AA160" s="492"/>
      <c r="AB160" s="492"/>
      <c r="AC160" s="492"/>
      <c r="AD160" s="492"/>
      <c r="AE160" s="492"/>
      <c r="AF160" s="492"/>
      <c r="AG160" s="492"/>
      <c r="AH160" s="492"/>
      <c r="AI160" s="492"/>
      <c r="AJ160" s="492"/>
      <c r="AK160" s="492"/>
      <c r="AL160" s="492"/>
      <c r="AM160" s="492"/>
      <c r="AN160" s="492"/>
      <c r="AO160" s="492"/>
      <c r="AP160" s="492"/>
      <c r="AQ160" s="492"/>
      <c r="AR160" s="492"/>
      <c r="AS160" s="492"/>
      <c r="AT160" s="492"/>
      <c r="AU160" s="492"/>
      <c r="AV160" s="492"/>
      <c r="AW160" s="492"/>
      <c r="AX160" s="492"/>
      <c r="AY160" s="492"/>
      <c r="AZ160" s="492"/>
    </row>
    <row r="161" spans="1:52" x14ac:dyDescent="0.2">
      <c r="A161" s="492"/>
      <c r="B161" s="492"/>
      <c r="C161" s="492"/>
      <c r="D161" s="492"/>
      <c r="E161" s="492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2"/>
      <c r="R161" s="492"/>
      <c r="S161" s="492"/>
      <c r="T161" s="492"/>
      <c r="U161" s="492"/>
      <c r="V161" s="492"/>
      <c r="W161" s="492"/>
      <c r="X161" s="492"/>
      <c r="Y161" s="492"/>
      <c r="Z161" s="492"/>
      <c r="AA161" s="492"/>
      <c r="AB161" s="492"/>
      <c r="AC161" s="492"/>
      <c r="AD161" s="492"/>
      <c r="AE161" s="492"/>
      <c r="AF161" s="492"/>
      <c r="AG161" s="492"/>
      <c r="AH161" s="492"/>
      <c r="AI161" s="492"/>
      <c r="AJ161" s="492"/>
      <c r="AK161" s="492"/>
      <c r="AL161" s="492"/>
      <c r="AM161" s="492"/>
      <c r="AN161" s="492"/>
      <c r="AO161" s="492"/>
      <c r="AP161" s="492"/>
      <c r="AQ161" s="492"/>
      <c r="AR161" s="492"/>
      <c r="AS161" s="492"/>
      <c r="AT161" s="492"/>
      <c r="AU161" s="492"/>
      <c r="AV161" s="492"/>
      <c r="AW161" s="492"/>
      <c r="AX161" s="492"/>
      <c r="AY161" s="492"/>
      <c r="AZ161" s="492"/>
    </row>
    <row r="162" spans="1:52" x14ac:dyDescent="0.2">
      <c r="A162" s="492"/>
      <c r="B162" s="492"/>
      <c r="C162" s="492"/>
      <c r="D162" s="492"/>
      <c r="E162" s="492"/>
      <c r="F162" s="492"/>
      <c r="G162" s="492"/>
      <c r="H162" s="492"/>
      <c r="I162" s="492"/>
      <c r="J162" s="492"/>
      <c r="K162" s="492"/>
      <c r="L162" s="492"/>
      <c r="M162" s="492"/>
      <c r="N162" s="492"/>
      <c r="O162" s="492"/>
      <c r="P162" s="492"/>
      <c r="Q162" s="492"/>
      <c r="R162" s="492"/>
      <c r="S162" s="492"/>
      <c r="T162" s="492"/>
      <c r="U162" s="492"/>
      <c r="V162" s="492"/>
      <c r="W162" s="492"/>
      <c r="X162" s="492"/>
      <c r="Y162" s="492"/>
      <c r="Z162" s="492"/>
      <c r="AA162" s="492"/>
      <c r="AB162" s="492"/>
      <c r="AC162" s="492"/>
      <c r="AD162" s="492"/>
      <c r="AE162" s="492"/>
      <c r="AF162" s="492"/>
      <c r="AG162" s="492"/>
      <c r="AH162" s="492"/>
      <c r="AI162" s="492"/>
      <c r="AJ162" s="492"/>
      <c r="AK162" s="492"/>
      <c r="AL162" s="492"/>
      <c r="AM162" s="492"/>
      <c r="AN162" s="492"/>
      <c r="AO162" s="492"/>
      <c r="AP162" s="492"/>
      <c r="AQ162" s="492"/>
      <c r="AR162" s="492"/>
      <c r="AS162" s="492"/>
      <c r="AT162" s="492"/>
      <c r="AU162" s="492"/>
      <c r="AV162" s="492"/>
      <c r="AW162" s="492"/>
      <c r="AX162" s="492"/>
      <c r="AY162" s="492"/>
      <c r="AZ162" s="492"/>
    </row>
    <row r="163" spans="1:52" x14ac:dyDescent="0.2">
      <c r="A163" s="492"/>
      <c r="B163" s="492"/>
      <c r="C163" s="492"/>
      <c r="D163" s="492"/>
      <c r="E163" s="492"/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2"/>
      <c r="R163" s="492"/>
      <c r="S163" s="492"/>
      <c r="T163" s="492"/>
      <c r="U163" s="492"/>
      <c r="V163" s="492"/>
      <c r="W163" s="492"/>
      <c r="X163" s="492"/>
      <c r="Y163" s="492"/>
      <c r="Z163" s="492"/>
      <c r="AA163" s="492"/>
      <c r="AB163" s="492"/>
      <c r="AC163" s="492"/>
      <c r="AD163" s="492"/>
      <c r="AE163" s="492"/>
      <c r="AF163" s="492"/>
      <c r="AG163" s="492"/>
      <c r="AH163" s="492"/>
      <c r="AI163" s="492"/>
      <c r="AJ163" s="492"/>
      <c r="AK163" s="492"/>
      <c r="AL163" s="492"/>
      <c r="AM163" s="492"/>
      <c r="AN163" s="492"/>
      <c r="AO163" s="492"/>
      <c r="AP163" s="492"/>
      <c r="AQ163" s="492"/>
      <c r="AR163" s="492"/>
      <c r="AS163" s="492"/>
      <c r="AT163" s="492"/>
      <c r="AU163" s="492"/>
      <c r="AV163" s="492"/>
      <c r="AW163" s="492"/>
      <c r="AX163" s="492"/>
      <c r="AY163" s="492"/>
      <c r="AZ163" s="492"/>
    </row>
    <row r="164" spans="1:52" x14ac:dyDescent="0.2">
      <c r="A164" s="492"/>
      <c r="B164" s="492"/>
      <c r="C164" s="492"/>
      <c r="D164" s="492"/>
      <c r="E164" s="492"/>
      <c r="F164" s="492"/>
      <c r="G164" s="492"/>
      <c r="H164" s="492"/>
      <c r="I164" s="492"/>
      <c r="J164" s="492"/>
      <c r="K164" s="492"/>
      <c r="L164" s="492"/>
      <c r="M164" s="492"/>
      <c r="N164" s="492"/>
      <c r="O164" s="492"/>
      <c r="P164" s="492"/>
      <c r="Q164" s="492"/>
      <c r="R164" s="492"/>
      <c r="S164" s="492"/>
      <c r="T164" s="492"/>
      <c r="U164" s="492"/>
      <c r="V164" s="492"/>
      <c r="W164" s="492"/>
      <c r="X164" s="492"/>
      <c r="Y164" s="492"/>
      <c r="Z164" s="492"/>
      <c r="AA164" s="492"/>
      <c r="AB164" s="492"/>
      <c r="AC164" s="492"/>
      <c r="AD164" s="492"/>
      <c r="AE164" s="492"/>
      <c r="AF164" s="492"/>
      <c r="AG164" s="492"/>
      <c r="AH164" s="492"/>
      <c r="AI164" s="492"/>
      <c r="AJ164" s="492"/>
      <c r="AK164" s="492"/>
      <c r="AL164" s="492"/>
      <c r="AM164" s="492"/>
      <c r="AN164" s="492"/>
      <c r="AO164" s="492"/>
      <c r="AP164" s="492"/>
      <c r="AQ164" s="492"/>
      <c r="AR164" s="492"/>
      <c r="AS164" s="492"/>
      <c r="AT164" s="492"/>
      <c r="AU164" s="492"/>
      <c r="AV164" s="492"/>
      <c r="AW164" s="492"/>
      <c r="AX164" s="492"/>
      <c r="AY164" s="492"/>
      <c r="AZ164" s="492"/>
    </row>
    <row r="165" spans="1:52" x14ac:dyDescent="0.2">
      <c r="A165" s="492"/>
      <c r="B165" s="492"/>
      <c r="C165" s="492"/>
      <c r="D165" s="492"/>
      <c r="E165" s="492"/>
      <c r="F165" s="492"/>
      <c r="G165" s="492"/>
      <c r="H165" s="492"/>
      <c r="I165" s="492"/>
      <c r="J165" s="492"/>
      <c r="K165" s="492"/>
      <c r="L165" s="492"/>
      <c r="M165" s="492"/>
      <c r="N165" s="492"/>
      <c r="O165" s="492"/>
      <c r="P165" s="492"/>
      <c r="Q165" s="492"/>
      <c r="R165" s="492"/>
      <c r="S165" s="492"/>
      <c r="T165" s="492"/>
      <c r="U165" s="492"/>
      <c r="V165" s="492"/>
      <c r="W165" s="492"/>
      <c r="X165" s="492"/>
      <c r="Y165" s="492"/>
      <c r="Z165" s="492"/>
      <c r="AA165" s="492"/>
      <c r="AB165" s="492"/>
      <c r="AC165" s="492"/>
      <c r="AD165" s="492"/>
      <c r="AE165" s="492"/>
      <c r="AF165" s="492"/>
      <c r="AG165" s="492"/>
      <c r="AH165" s="492"/>
      <c r="AI165" s="492"/>
      <c r="AJ165" s="492"/>
      <c r="AK165" s="492"/>
      <c r="AL165" s="492"/>
      <c r="AM165" s="492"/>
      <c r="AN165" s="492"/>
      <c r="AO165" s="492"/>
      <c r="AP165" s="492"/>
      <c r="AQ165" s="492"/>
      <c r="AR165" s="492"/>
      <c r="AS165" s="492"/>
      <c r="AT165" s="492"/>
      <c r="AU165" s="492"/>
      <c r="AV165" s="492"/>
      <c r="AW165" s="492"/>
      <c r="AX165" s="492"/>
      <c r="AY165" s="492"/>
      <c r="AZ165" s="492"/>
    </row>
    <row r="166" spans="1:52" x14ac:dyDescent="0.2">
      <c r="A166" s="492"/>
      <c r="B166" s="492"/>
      <c r="C166" s="492"/>
      <c r="D166" s="492"/>
      <c r="E166" s="492"/>
      <c r="F166" s="492"/>
      <c r="G166" s="492"/>
      <c r="H166" s="492"/>
      <c r="I166" s="492"/>
      <c r="J166" s="492"/>
      <c r="K166" s="492"/>
      <c r="L166" s="492"/>
      <c r="M166" s="492"/>
      <c r="N166" s="492"/>
      <c r="O166" s="492"/>
      <c r="P166" s="492"/>
      <c r="Q166" s="492"/>
      <c r="R166" s="492"/>
      <c r="S166" s="492"/>
      <c r="T166" s="492"/>
      <c r="U166" s="492"/>
      <c r="V166" s="492"/>
      <c r="W166" s="492"/>
      <c r="X166" s="492"/>
      <c r="Y166" s="492"/>
      <c r="Z166" s="492"/>
      <c r="AA166" s="492"/>
      <c r="AB166" s="492"/>
      <c r="AC166" s="492"/>
      <c r="AD166" s="492"/>
      <c r="AE166" s="492"/>
      <c r="AF166" s="492"/>
      <c r="AG166" s="492"/>
      <c r="AH166" s="492"/>
      <c r="AI166" s="492"/>
      <c r="AJ166" s="492"/>
      <c r="AK166" s="492"/>
      <c r="AL166" s="492"/>
      <c r="AM166" s="492"/>
      <c r="AN166" s="492"/>
      <c r="AO166" s="492"/>
      <c r="AP166" s="492"/>
      <c r="AQ166" s="492"/>
      <c r="AR166" s="492"/>
      <c r="AS166" s="492"/>
      <c r="AT166" s="492"/>
      <c r="AU166" s="492"/>
      <c r="AV166" s="492"/>
      <c r="AW166" s="492"/>
      <c r="AX166" s="492"/>
      <c r="AY166" s="492"/>
      <c r="AZ166" s="492"/>
    </row>
    <row r="167" spans="1:52" x14ac:dyDescent="0.2">
      <c r="A167" s="492"/>
      <c r="B167" s="492"/>
      <c r="C167" s="492"/>
      <c r="D167" s="492"/>
      <c r="E167" s="492"/>
      <c r="F167" s="492"/>
      <c r="G167" s="492"/>
      <c r="H167" s="492"/>
      <c r="I167" s="492"/>
      <c r="J167" s="492"/>
      <c r="K167" s="492"/>
      <c r="L167" s="492"/>
      <c r="M167" s="492"/>
      <c r="N167" s="492"/>
      <c r="O167" s="492"/>
      <c r="P167" s="492"/>
      <c r="Q167" s="492"/>
      <c r="R167" s="492"/>
      <c r="S167" s="492"/>
      <c r="T167" s="492"/>
      <c r="U167" s="492"/>
      <c r="V167" s="492"/>
      <c r="W167" s="492"/>
      <c r="X167" s="492"/>
      <c r="Y167" s="492"/>
      <c r="Z167" s="492"/>
      <c r="AA167" s="492"/>
      <c r="AB167" s="492"/>
      <c r="AC167" s="492"/>
      <c r="AD167" s="492"/>
      <c r="AE167" s="492"/>
      <c r="AF167" s="492"/>
      <c r="AG167" s="492"/>
      <c r="AH167" s="492"/>
      <c r="AI167" s="492"/>
      <c r="AJ167" s="492"/>
      <c r="AK167" s="492"/>
      <c r="AL167" s="492"/>
      <c r="AM167" s="492"/>
      <c r="AN167" s="492"/>
      <c r="AO167" s="492"/>
      <c r="AP167" s="492"/>
      <c r="AQ167" s="492"/>
      <c r="AR167" s="492"/>
      <c r="AS167" s="492"/>
      <c r="AT167" s="492"/>
      <c r="AU167" s="492"/>
      <c r="AV167" s="492"/>
      <c r="AW167" s="492"/>
      <c r="AX167" s="492"/>
      <c r="AY167" s="492"/>
      <c r="AZ167" s="492"/>
    </row>
    <row r="168" spans="1:52" x14ac:dyDescent="0.2">
      <c r="A168" s="492"/>
      <c r="B168" s="492"/>
      <c r="C168" s="492"/>
      <c r="D168" s="492"/>
      <c r="E168" s="492"/>
      <c r="F168" s="492"/>
      <c r="G168" s="492"/>
      <c r="H168" s="492"/>
      <c r="I168" s="492"/>
      <c r="J168" s="492"/>
      <c r="K168" s="492"/>
      <c r="L168" s="492"/>
      <c r="M168" s="492"/>
      <c r="N168" s="492"/>
      <c r="O168" s="492"/>
      <c r="P168" s="492"/>
      <c r="Q168" s="492"/>
      <c r="R168" s="492"/>
      <c r="S168" s="492"/>
      <c r="T168" s="492"/>
      <c r="U168" s="492"/>
      <c r="V168" s="492"/>
      <c r="W168" s="492"/>
      <c r="X168" s="492"/>
      <c r="Y168" s="492"/>
      <c r="Z168" s="492"/>
      <c r="AA168" s="492"/>
      <c r="AB168" s="492"/>
      <c r="AC168" s="492"/>
      <c r="AD168" s="492"/>
      <c r="AE168" s="492"/>
      <c r="AF168" s="492"/>
      <c r="AG168" s="492"/>
      <c r="AH168" s="492"/>
      <c r="AI168" s="492"/>
      <c r="AJ168" s="492"/>
      <c r="AK168" s="492"/>
      <c r="AL168" s="492"/>
      <c r="AM168" s="492"/>
      <c r="AN168" s="492"/>
      <c r="AO168" s="492"/>
      <c r="AP168" s="492"/>
      <c r="AQ168" s="492"/>
      <c r="AR168" s="492"/>
      <c r="AS168" s="492"/>
      <c r="AT168" s="492"/>
      <c r="AU168" s="492"/>
      <c r="AV168" s="492"/>
      <c r="AW168" s="492"/>
      <c r="AX168" s="492"/>
      <c r="AY168" s="492"/>
      <c r="AZ168" s="492"/>
    </row>
    <row r="169" spans="1:52" x14ac:dyDescent="0.2">
      <c r="A169" s="492"/>
      <c r="B169" s="492"/>
      <c r="C169" s="492"/>
      <c r="D169" s="492"/>
      <c r="E169" s="492"/>
      <c r="F169" s="492"/>
      <c r="G169" s="492"/>
      <c r="H169" s="492"/>
      <c r="I169" s="492"/>
      <c r="J169" s="492"/>
      <c r="K169" s="492"/>
      <c r="L169" s="492"/>
      <c r="M169" s="492"/>
      <c r="N169" s="492"/>
      <c r="O169" s="492"/>
      <c r="P169" s="492"/>
      <c r="Q169" s="492"/>
      <c r="R169" s="492"/>
      <c r="S169" s="492"/>
      <c r="T169" s="492"/>
      <c r="U169" s="492"/>
      <c r="V169" s="492"/>
      <c r="W169" s="492"/>
      <c r="X169" s="492"/>
      <c r="Y169" s="492"/>
      <c r="Z169" s="492"/>
      <c r="AA169" s="492"/>
      <c r="AB169" s="492"/>
      <c r="AC169" s="492"/>
      <c r="AD169" s="492"/>
      <c r="AE169" s="492"/>
      <c r="AF169" s="492"/>
      <c r="AG169" s="492"/>
      <c r="AH169" s="492"/>
      <c r="AI169" s="492"/>
      <c r="AJ169" s="492"/>
      <c r="AK169" s="492"/>
      <c r="AL169" s="492"/>
      <c r="AM169" s="492"/>
      <c r="AN169" s="492"/>
      <c r="AO169" s="492"/>
      <c r="AP169" s="492"/>
      <c r="AQ169" s="492"/>
      <c r="AR169" s="492"/>
      <c r="AS169" s="492"/>
      <c r="AT169" s="492"/>
      <c r="AU169" s="492"/>
      <c r="AV169" s="492"/>
      <c r="AW169" s="492"/>
      <c r="AX169" s="492"/>
      <c r="AY169" s="492"/>
      <c r="AZ169" s="492"/>
    </row>
    <row r="170" spans="1:52" x14ac:dyDescent="0.2">
      <c r="A170" s="492"/>
      <c r="B170" s="492"/>
      <c r="C170" s="492"/>
      <c r="D170" s="492"/>
      <c r="E170" s="492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2"/>
      <c r="R170" s="492"/>
      <c r="S170" s="492"/>
      <c r="T170" s="492"/>
      <c r="U170" s="492"/>
      <c r="V170" s="492"/>
      <c r="W170" s="492"/>
      <c r="X170" s="492"/>
      <c r="Y170" s="492"/>
      <c r="Z170" s="492"/>
      <c r="AA170" s="492"/>
      <c r="AB170" s="492"/>
      <c r="AC170" s="492"/>
      <c r="AD170" s="492"/>
      <c r="AE170" s="492"/>
      <c r="AF170" s="492"/>
      <c r="AG170" s="492"/>
      <c r="AH170" s="492"/>
      <c r="AI170" s="492"/>
      <c r="AJ170" s="492"/>
      <c r="AK170" s="492"/>
      <c r="AL170" s="492"/>
      <c r="AM170" s="492"/>
      <c r="AN170" s="492"/>
      <c r="AO170" s="492"/>
      <c r="AP170" s="492"/>
      <c r="AQ170" s="492"/>
      <c r="AR170" s="492"/>
      <c r="AS170" s="492"/>
      <c r="AT170" s="492"/>
      <c r="AU170" s="492"/>
      <c r="AV170" s="492"/>
      <c r="AW170" s="492"/>
      <c r="AX170" s="492"/>
      <c r="AY170" s="492"/>
      <c r="AZ170" s="492"/>
    </row>
    <row r="171" spans="1:52" x14ac:dyDescent="0.2">
      <c r="A171" s="492"/>
      <c r="B171" s="492"/>
      <c r="C171" s="492"/>
      <c r="D171" s="492"/>
      <c r="E171" s="492"/>
      <c r="F171" s="492"/>
      <c r="G171" s="492"/>
      <c r="H171" s="492"/>
      <c r="I171" s="492"/>
      <c r="J171" s="492"/>
      <c r="K171" s="492"/>
      <c r="L171" s="492"/>
      <c r="M171" s="492"/>
      <c r="N171" s="492"/>
      <c r="O171" s="492"/>
      <c r="P171" s="492"/>
      <c r="Q171" s="492"/>
      <c r="R171" s="492"/>
      <c r="S171" s="492"/>
      <c r="T171" s="492"/>
      <c r="U171" s="492"/>
      <c r="V171" s="492"/>
      <c r="W171" s="492"/>
      <c r="X171" s="492"/>
      <c r="Y171" s="492"/>
      <c r="Z171" s="492"/>
      <c r="AA171" s="492"/>
      <c r="AB171" s="492"/>
      <c r="AC171" s="492"/>
      <c r="AD171" s="492"/>
      <c r="AE171" s="492"/>
      <c r="AF171" s="492"/>
      <c r="AG171" s="492"/>
      <c r="AH171" s="492"/>
      <c r="AI171" s="492"/>
      <c r="AJ171" s="492"/>
      <c r="AK171" s="492"/>
      <c r="AL171" s="492"/>
      <c r="AM171" s="492"/>
      <c r="AN171" s="492"/>
      <c r="AO171" s="492"/>
      <c r="AP171" s="492"/>
      <c r="AQ171" s="492"/>
      <c r="AR171" s="492"/>
      <c r="AS171" s="492"/>
      <c r="AT171" s="492"/>
      <c r="AU171" s="492"/>
      <c r="AV171" s="492"/>
      <c r="AW171" s="492"/>
      <c r="AX171" s="492"/>
      <c r="AY171" s="492"/>
      <c r="AZ171" s="492"/>
    </row>
    <row r="172" spans="1:52" x14ac:dyDescent="0.2">
      <c r="A172" s="492"/>
      <c r="B172" s="492"/>
      <c r="C172" s="492"/>
      <c r="D172" s="492"/>
      <c r="E172" s="492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/>
      <c r="P172" s="492"/>
      <c r="Q172" s="492"/>
      <c r="R172" s="492"/>
      <c r="S172" s="492"/>
      <c r="T172" s="492"/>
      <c r="U172" s="492"/>
      <c r="V172" s="492"/>
      <c r="W172" s="492"/>
      <c r="X172" s="492"/>
      <c r="Y172" s="492"/>
      <c r="Z172" s="492"/>
      <c r="AA172" s="492"/>
      <c r="AB172" s="492"/>
      <c r="AC172" s="492"/>
      <c r="AD172" s="492"/>
      <c r="AE172" s="492"/>
      <c r="AF172" s="492"/>
      <c r="AG172" s="492"/>
      <c r="AH172" s="492"/>
      <c r="AI172" s="492"/>
      <c r="AJ172" s="492"/>
      <c r="AK172" s="492"/>
      <c r="AL172" s="492"/>
      <c r="AM172" s="492"/>
      <c r="AN172" s="492"/>
      <c r="AO172" s="492"/>
      <c r="AP172" s="492"/>
      <c r="AQ172" s="492"/>
      <c r="AR172" s="492"/>
      <c r="AS172" s="492"/>
      <c r="AT172" s="492"/>
      <c r="AU172" s="492"/>
      <c r="AV172" s="492"/>
      <c r="AW172" s="492"/>
      <c r="AX172" s="492"/>
      <c r="AY172" s="492"/>
      <c r="AZ172" s="492"/>
    </row>
    <row r="173" spans="1:52" x14ac:dyDescent="0.2">
      <c r="A173" s="492"/>
      <c r="B173" s="492"/>
      <c r="C173" s="492"/>
      <c r="D173" s="492"/>
      <c r="E173" s="492"/>
      <c r="F173" s="492"/>
      <c r="G173" s="492"/>
      <c r="H173" s="492"/>
      <c r="I173" s="492"/>
      <c r="J173" s="492"/>
      <c r="K173" s="492"/>
      <c r="L173" s="492"/>
      <c r="M173" s="492"/>
      <c r="N173" s="492"/>
      <c r="O173" s="492"/>
      <c r="P173" s="492"/>
      <c r="Q173" s="492"/>
      <c r="R173" s="492"/>
      <c r="S173" s="492"/>
      <c r="T173" s="492"/>
      <c r="U173" s="492"/>
      <c r="V173" s="492"/>
      <c r="W173" s="492"/>
      <c r="X173" s="492"/>
      <c r="Y173" s="492"/>
      <c r="Z173" s="492"/>
      <c r="AA173" s="492"/>
      <c r="AB173" s="492"/>
      <c r="AC173" s="492"/>
      <c r="AD173" s="492"/>
      <c r="AE173" s="492"/>
      <c r="AF173" s="492"/>
      <c r="AG173" s="492"/>
      <c r="AH173" s="492"/>
      <c r="AI173" s="492"/>
      <c r="AJ173" s="492"/>
      <c r="AK173" s="492"/>
      <c r="AL173" s="492"/>
      <c r="AM173" s="492"/>
      <c r="AN173" s="492"/>
      <c r="AO173" s="492"/>
      <c r="AP173" s="492"/>
      <c r="AQ173" s="492"/>
      <c r="AR173" s="492"/>
      <c r="AS173" s="492"/>
      <c r="AT173" s="492"/>
      <c r="AU173" s="492"/>
      <c r="AV173" s="492"/>
      <c r="AW173" s="492"/>
      <c r="AX173" s="492"/>
      <c r="AY173" s="492"/>
      <c r="AZ173" s="492"/>
    </row>
    <row r="174" spans="1:52" x14ac:dyDescent="0.2">
      <c r="A174" s="492"/>
      <c r="B174" s="492"/>
      <c r="C174" s="492"/>
      <c r="D174" s="492"/>
      <c r="E174" s="492"/>
      <c r="F174" s="492"/>
      <c r="G174" s="492"/>
      <c r="H174" s="492"/>
      <c r="I174" s="492"/>
      <c r="J174" s="492"/>
      <c r="K174" s="492"/>
      <c r="L174" s="492"/>
      <c r="M174" s="492"/>
      <c r="N174" s="492"/>
      <c r="O174" s="492"/>
      <c r="P174" s="492"/>
      <c r="Q174" s="492"/>
      <c r="R174" s="492"/>
      <c r="S174" s="492"/>
      <c r="T174" s="492"/>
      <c r="U174" s="492"/>
      <c r="V174" s="492"/>
      <c r="W174" s="492"/>
      <c r="X174" s="492"/>
      <c r="Y174" s="492"/>
      <c r="Z174" s="492"/>
      <c r="AA174" s="492"/>
      <c r="AB174" s="492"/>
      <c r="AC174" s="492"/>
      <c r="AD174" s="492"/>
      <c r="AE174" s="492"/>
      <c r="AF174" s="492"/>
      <c r="AG174" s="492"/>
      <c r="AH174" s="492"/>
      <c r="AI174" s="492"/>
      <c r="AJ174" s="492"/>
      <c r="AK174" s="492"/>
      <c r="AL174" s="492"/>
      <c r="AM174" s="492"/>
      <c r="AN174" s="492"/>
      <c r="AO174" s="492"/>
      <c r="AP174" s="492"/>
      <c r="AQ174" s="492"/>
      <c r="AR174" s="492"/>
      <c r="AS174" s="492"/>
      <c r="AT174" s="492"/>
      <c r="AU174" s="492"/>
      <c r="AV174" s="492"/>
      <c r="AW174" s="492"/>
      <c r="AX174" s="492"/>
      <c r="AY174" s="492"/>
      <c r="AZ174" s="492"/>
    </row>
    <row r="175" spans="1:52" x14ac:dyDescent="0.2">
      <c r="A175" s="492"/>
      <c r="B175" s="492"/>
      <c r="C175" s="492"/>
      <c r="D175" s="492"/>
      <c r="E175" s="492"/>
      <c r="F175" s="492"/>
      <c r="G175" s="492"/>
      <c r="H175" s="492"/>
      <c r="I175" s="492"/>
      <c r="J175" s="492"/>
      <c r="K175" s="492"/>
      <c r="L175" s="492"/>
      <c r="M175" s="492"/>
      <c r="N175" s="492"/>
      <c r="O175" s="492"/>
      <c r="P175" s="492"/>
      <c r="Q175" s="492"/>
      <c r="R175" s="492"/>
      <c r="S175" s="492"/>
      <c r="T175" s="492"/>
      <c r="U175" s="492"/>
      <c r="V175" s="492"/>
      <c r="W175" s="492"/>
      <c r="X175" s="492"/>
      <c r="Y175" s="492"/>
      <c r="Z175" s="492"/>
      <c r="AA175" s="492"/>
      <c r="AB175" s="492"/>
      <c r="AC175" s="492"/>
      <c r="AD175" s="492"/>
      <c r="AE175" s="492"/>
      <c r="AF175" s="492"/>
      <c r="AG175" s="492"/>
      <c r="AH175" s="492"/>
      <c r="AI175" s="492"/>
      <c r="AJ175" s="492"/>
      <c r="AK175" s="492"/>
      <c r="AL175" s="492"/>
      <c r="AM175" s="492"/>
      <c r="AN175" s="492"/>
      <c r="AO175" s="492"/>
      <c r="AP175" s="492"/>
      <c r="AQ175" s="492"/>
      <c r="AR175" s="492"/>
      <c r="AS175" s="492"/>
      <c r="AT175" s="492"/>
      <c r="AU175" s="492"/>
      <c r="AV175" s="492"/>
      <c r="AW175" s="492"/>
      <c r="AX175" s="492"/>
      <c r="AY175" s="492"/>
      <c r="AZ175" s="492"/>
    </row>
    <row r="176" spans="1:52" x14ac:dyDescent="0.2">
      <c r="A176" s="492"/>
      <c r="B176" s="492"/>
      <c r="C176" s="492"/>
      <c r="D176" s="492"/>
      <c r="E176" s="492"/>
      <c r="F176" s="492"/>
      <c r="G176" s="492"/>
      <c r="H176" s="492"/>
      <c r="I176" s="492"/>
      <c r="J176" s="492"/>
      <c r="K176" s="492"/>
      <c r="L176" s="492"/>
      <c r="M176" s="492"/>
      <c r="N176" s="492"/>
      <c r="O176" s="492"/>
      <c r="P176" s="492"/>
      <c r="Q176" s="492"/>
      <c r="R176" s="492"/>
      <c r="S176" s="492"/>
      <c r="T176" s="492"/>
      <c r="U176" s="492"/>
      <c r="V176" s="492"/>
      <c r="W176" s="492"/>
      <c r="X176" s="492"/>
      <c r="Y176" s="492"/>
      <c r="Z176" s="492"/>
      <c r="AA176" s="492"/>
      <c r="AB176" s="492"/>
      <c r="AC176" s="492"/>
      <c r="AD176" s="492"/>
      <c r="AE176" s="492"/>
      <c r="AF176" s="492"/>
      <c r="AG176" s="492"/>
      <c r="AH176" s="492"/>
      <c r="AI176" s="492"/>
      <c r="AJ176" s="492"/>
      <c r="AK176" s="492"/>
      <c r="AL176" s="492"/>
      <c r="AM176" s="492"/>
      <c r="AN176" s="492"/>
      <c r="AO176" s="492"/>
      <c r="AP176" s="492"/>
      <c r="AQ176" s="492"/>
      <c r="AR176" s="492"/>
      <c r="AS176" s="492"/>
      <c r="AT176" s="492"/>
      <c r="AU176" s="492"/>
      <c r="AV176" s="492"/>
      <c r="AW176" s="492"/>
      <c r="AX176" s="492"/>
      <c r="AY176" s="492"/>
      <c r="AZ176" s="492"/>
    </row>
    <row r="177" spans="1:52" x14ac:dyDescent="0.2">
      <c r="A177" s="492"/>
      <c r="B177" s="492"/>
      <c r="C177" s="492"/>
      <c r="D177" s="492"/>
      <c r="E177" s="492"/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2"/>
      <c r="R177" s="492"/>
      <c r="S177" s="492"/>
      <c r="T177" s="492"/>
      <c r="U177" s="492"/>
      <c r="V177" s="492"/>
      <c r="W177" s="492"/>
      <c r="X177" s="492"/>
      <c r="Y177" s="492"/>
      <c r="Z177" s="492"/>
      <c r="AA177" s="492"/>
      <c r="AB177" s="492"/>
      <c r="AC177" s="492"/>
      <c r="AD177" s="492"/>
      <c r="AE177" s="492"/>
      <c r="AF177" s="492"/>
      <c r="AG177" s="492"/>
      <c r="AH177" s="492"/>
      <c r="AI177" s="492"/>
      <c r="AJ177" s="492"/>
      <c r="AK177" s="492"/>
      <c r="AL177" s="492"/>
      <c r="AM177" s="492"/>
      <c r="AN177" s="492"/>
      <c r="AO177" s="492"/>
      <c r="AP177" s="492"/>
      <c r="AQ177" s="492"/>
      <c r="AR177" s="492"/>
      <c r="AS177" s="492"/>
      <c r="AT177" s="492"/>
      <c r="AU177" s="492"/>
      <c r="AV177" s="492"/>
      <c r="AW177" s="492"/>
      <c r="AX177" s="492"/>
      <c r="AY177" s="492"/>
      <c r="AZ177" s="492"/>
    </row>
    <row r="178" spans="1:52" x14ac:dyDescent="0.2">
      <c r="A178" s="492"/>
      <c r="B178" s="492"/>
      <c r="C178" s="492"/>
      <c r="D178" s="492"/>
      <c r="E178" s="492"/>
      <c r="F178" s="492"/>
      <c r="G178" s="492"/>
      <c r="H178" s="492"/>
      <c r="I178" s="492"/>
      <c r="J178" s="492"/>
      <c r="K178" s="492"/>
      <c r="L178" s="492"/>
      <c r="M178" s="492"/>
      <c r="N178" s="492"/>
      <c r="O178" s="492"/>
      <c r="P178" s="492"/>
      <c r="Q178" s="492"/>
      <c r="R178" s="492"/>
      <c r="S178" s="492"/>
      <c r="T178" s="492"/>
      <c r="U178" s="492"/>
      <c r="V178" s="492"/>
      <c r="W178" s="492"/>
      <c r="X178" s="492"/>
      <c r="Y178" s="492"/>
      <c r="Z178" s="492"/>
      <c r="AA178" s="492"/>
      <c r="AB178" s="492"/>
      <c r="AC178" s="492"/>
      <c r="AD178" s="492"/>
      <c r="AE178" s="492"/>
      <c r="AF178" s="492"/>
      <c r="AG178" s="492"/>
      <c r="AH178" s="492"/>
      <c r="AI178" s="492"/>
      <c r="AJ178" s="492"/>
      <c r="AK178" s="492"/>
      <c r="AL178" s="492"/>
      <c r="AM178" s="492"/>
      <c r="AN178" s="492"/>
      <c r="AO178" s="492"/>
      <c r="AP178" s="492"/>
      <c r="AQ178" s="492"/>
      <c r="AR178" s="492"/>
      <c r="AS178" s="492"/>
      <c r="AT178" s="492"/>
      <c r="AU178" s="492"/>
      <c r="AV178" s="492"/>
      <c r="AW178" s="492"/>
      <c r="AX178" s="492"/>
      <c r="AY178" s="492"/>
      <c r="AZ178" s="492"/>
    </row>
    <row r="179" spans="1:52" x14ac:dyDescent="0.2">
      <c r="A179" s="492"/>
      <c r="B179" s="492"/>
      <c r="C179" s="492"/>
      <c r="D179" s="492"/>
      <c r="E179" s="492"/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2"/>
      <c r="R179" s="492"/>
      <c r="S179" s="492"/>
      <c r="T179" s="492"/>
      <c r="U179" s="492"/>
      <c r="V179" s="492"/>
      <c r="W179" s="492"/>
      <c r="X179" s="492"/>
      <c r="Y179" s="492"/>
      <c r="Z179" s="492"/>
      <c r="AA179" s="492"/>
      <c r="AB179" s="492"/>
      <c r="AC179" s="492"/>
      <c r="AD179" s="492"/>
      <c r="AE179" s="492"/>
      <c r="AF179" s="492"/>
      <c r="AG179" s="492"/>
      <c r="AH179" s="492"/>
      <c r="AI179" s="492"/>
      <c r="AJ179" s="492"/>
      <c r="AK179" s="492"/>
      <c r="AL179" s="492"/>
      <c r="AM179" s="492"/>
      <c r="AN179" s="492"/>
      <c r="AO179" s="492"/>
      <c r="AP179" s="492"/>
      <c r="AQ179" s="492"/>
      <c r="AR179" s="492"/>
      <c r="AS179" s="492"/>
      <c r="AT179" s="492"/>
      <c r="AU179" s="492"/>
      <c r="AV179" s="492"/>
      <c r="AW179" s="492"/>
      <c r="AX179" s="492"/>
      <c r="AY179" s="492"/>
      <c r="AZ179" s="492"/>
    </row>
    <row r="180" spans="1:52" x14ac:dyDescent="0.2">
      <c r="A180" s="492"/>
      <c r="B180" s="492"/>
      <c r="C180" s="492"/>
      <c r="D180" s="492"/>
      <c r="E180" s="492"/>
      <c r="F180" s="492"/>
      <c r="G180" s="492"/>
      <c r="H180" s="492"/>
      <c r="I180" s="492"/>
      <c r="J180" s="492"/>
      <c r="K180" s="492"/>
      <c r="L180" s="492"/>
      <c r="M180" s="492"/>
      <c r="N180" s="492"/>
      <c r="O180" s="492"/>
      <c r="P180" s="492"/>
      <c r="Q180" s="492"/>
      <c r="R180" s="492"/>
      <c r="S180" s="492"/>
      <c r="T180" s="492"/>
      <c r="U180" s="492"/>
      <c r="V180" s="492"/>
      <c r="W180" s="492"/>
      <c r="X180" s="492"/>
      <c r="Y180" s="492"/>
      <c r="Z180" s="492"/>
      <c r="AA180" s="492"/>
      <c r="AB180" s="492"/>
      <c r="AC180" s="492"/>
      <c r="AD180" s="492"/>
      <c r="AE180" s="492"/>
      <c r="AF180" s="492"/>
      <c r="AG180" s="492"/>
      <c r="AH180" s="492"/>
      <c r="AI180" s="492"/>
      <c r="AJ180" s="492"/>
      <c r="AK180" s="492"/>
      <c r="AL180" s="492"/>
      <c r="AM180" s="492"/>
      <c r="AN180" s="492"/>
      <c r="AO180" s="492"/>
      <c r="AP180" s="492"/>
      <c r="AQ180" s="492"/>
      <c r="AR180" s="492"/>
      <c r="AS180" s="492"/>
      <c r="AT180" s="492"/>
      <c r="AU180" s="492"/>
      <c r="AV180" s="492"/>
      <c r="AW180" s="492"/>
      <c r="AX180" s="492"/>
      <c r="AY180" s="492"/>
      <c r="AZ180" s="492"/>
    </row>
    <row r="181" spans="1:52" x14ac:dyDescent="0.2">
      <c r="A181" s="492"/>
      <c r="B181" s="492"/>
      <c r="C181" s="492"/>
      <c r="D181" s="492"/>
      <c r="E181" s="492"/>
      <c r="F181" s="492"/>
      <c r="G181" s="492"/>
      <c r="H181" s="492"/>
      <c r="I181" s="492"/>
      <c r="J181" s="492"/>
      <c r="K181" s="492"/>
      <c r="L181" s="492"/>
      <c r="M181" s="492"/>
      <c r="N181" s="492"/>
      <c r="O181" s="492"/>
      <c r="P181" s="492"/>
      <c r="Q181" s="492"/>
      <c r="R181" s="492"/>
      <c r="S181" s="492"/>
      <c r="T181" s="492"/>
      <c r="U181" s="492"/>
      <c r="V181" s="492"/>
      <c r="W181" s="492"/>
      <c r="X181" s="492"/>
      <c r="Y181" s="492"/>
      <c r="Z181" s="492"/>
      <c r="AA181" s="492"/>
      <c r="AB181" s="492"/>
      <c r="AC181" s="492"/>
      <c r="AD181" s="492"/>
      <c r="AE181" s="492"/>
      <c r="AF181" s="492"/>
      <c r="AG181" s="492"/>
      <c r="AH181" s="492"/>
      <c r="AI181" s="492"/>
      <c r="AJ181" s="492"/>
      <c r="AK181" s="492"/>
      <c r="AL181" s="492"/>
      <c r="AM181" s="492"/>
      <c r="AN181" s="492"/>
      <c r="AO181" s="492"/>
      <c r="AP181" s="492"/>
      <c r="AQ181" s="492"/>
      <c r="AR181" s="492"/>
      <c r="AS181" s="492"/>
      <c r="AT181" s="492"/>
      <c r="AU181" s="492"/>
      <c r="AV181" s="492"/>
      <c r="AW181" s="492"/>
      <c r="AX181" s="492"/>
      <c r="AY181" s="492"/>
      <c r="AZ181" s="492"/>
    </row>
    <row r="182" spans="1:52" x14ac:dyDescent="0.2">
      <c r="A182" s="492"/>
      <c r="B182" s="492"/>
      <c r="C182" s="492"/>
      <c r="D182" s="492"/>
      <c r="E182" s="492"/>
      <c r="F182" s="492"/>
      <c r="G182" s="492"/>
      <c r="H182" s="492"/>
      <c r="I182" s="492"/>
      <c r="J182" s="492"/>
      <c r="K182" s="492"/>
      <c r="L182" s="492"/>
      <c r="M182" s="492"/>
      <c r="N182" s="492"/>
      <c r="O182" s="492"/>
      <c r="P182" s="492"/>
      <c r="Q182" s="492"/>
      <c r="R182" s="492"/>
      <c r="S182" s="492"/>
      <c r="T182" s="492"/>
      <c r="U182" s="492"/>
      <c r="V182" s="492"/>
      <c r="W182" s="492"/>
      <c r="X182" s="492"/>
      <c r="Y182" s="492"/>
      <c r="Z182" s="492"/>
      <c r="AA182" s="492"/>
      <c r="AB182" s="492"/>
      <c r="AC182" s="492"/>
      <c r="AD182" s="492"/>
      <c r="AE182" s="492"/>
      <c r="AF182" s="492"/>
      <c r="AG182" s="492"/>
      <c r="AH182" s="492"/>
      <c r="AI182" s="492"/>
      <c r="AJ182" s="492"/>
      <c r="AK182" s="492"/>
      <c r="AL182" s="492"/>
      <c r="AM182" s="492"/>
      <c r="AN182" s="492"/>
      <c r="AO182" s="492"/>
      <c r="AP182" s="492"/>
      <c r="AQ182" s="492"/>
      <c r="AR182" s="492"/>
      <c r="AS182" s="492"/>
      <c r="AT182" s="492"/>
      <c r="AU182" s="492"/>
      <c r="AV182" s="492"/>
      <c r="AW182" s="492"/>
      <c r="AX182" s="492"/>
      <c r="AY182" s="492"/>
      <c r="AZ182" s="492"/>
    </row>
    <row r="183" spans="1:52" x14ac:dyDescent="0.2">
      <c r="A183" s="492"/>
      <c r="B183" s="492"/>
      <c r="C183" s="492"/>
      <c r="D183" s="492"/>
      <c r="E183" s="492"/>
      <c r="F183" s="492"/>
      <c r="G183" s="492"/>
      <c r="H183" s="492"/>
      <c r="I183" s="492"/>
      <c r="J183" s="492"/>
      <c r="K183" s="492"/>
      <c r="L183" s="492"/>
      <c r="M183" s="492"/>
      <c r="N183" s="492"/>
      <c r="O183" s="492"/>
      <c r="P183" s="492"/>
      <c r="Q183" s="492"/>
      <c r="R183" s="492"/>
      <c r="S183" s="492"/>
      <c r="T183" s="492"/>
      <c r="U183" s="492"/>
      <c r="V183" s="492"/>
      <c r="W183" s="492"/>
      <c r="X183" s="492"/>
      <c r="Y183" s="492"/>
      <c r="Z183" s="492"/>
      <c r="AA183" s="492"/>
      <c r="AB183" s="492"/>
      <c r="AC183" s="492"/>
      <c r="AD183" s="492"/>
      <c r="AE183" s="492"/>
      <c r="AF183" s="492"/>
      <c r="AG183" s="492"/>
      <c r="AH183" s="492"/>
      <c r="AI183" s="492"/>
      <c r="AJ183" s="492"/>
      <c r="AK183" s="492"/>
      <c r="AL183" s="492"/>
      <c r="AM183" s="492"/>
      <c r="AN183" s="492"/>
      <c r="AO183" s="492"/>
      <c r="AP183" s="492"/>
      <c r="AQ183" s="492"/>
      <c r="AR183" s="492"/>
      <c r="AS183" s="492"/>
      <c r="AT183" s="492"/>
      <c r="AU183" s="492"/>
      <c r="AV183" s="492"/>
      <c r="AW183" s="492"/>
      <c r="AX183" s="492"/>
      <c r="AY183" s="492"/>
      <c r="AZ183" s="492"/>
    </row>
    <row r="184" spans="1:52" x14ac:dyDescent="0.2">
      <c r="A184" s="492"/>
      <c r="B184" s="492"/>
      <c r="C184" s="492"/>
      <c r="D184" s="492"/>
      <c r="E184" s="492"/>
      <c r="F184" s="492"/>
      <c r="G184" s="492"/>
      <c r="H184" s="492"/>
      <c r="I184" s="492"/>
      <c r="J184" s="492"/>
      <c r="K184" s="492"/>
      <c r="L184" s="492"/>
      <c r="M184" s="492"/>
      <c r="N184" s="492"/>
      <c r="O184" s="492"/>
      <c r="P184" s="492"/>
      <c r="Q184" s="492"/>
      <c r="R184" s="492"/>
      <c r="S184" s="492"/>
      <c r="T184" s="492"/>
      <c r="U184" s="492"/>
      <c r="V184" s="492"/>
      <c r="W184" s="492"/>
      <c r="X184" s="492"/>
      <c r="Y184" s="492"/>
      <c r="Z184" s="492"/>
      <c r="AA184" s="492"/>
      <c r="AB184" s="492"/>
      <c r="AC184" s="492"/>
      <c r="AD184" s="492"/>
      <c r="AE184" s="492"/>
      <c r="AF184" s="492"/>
      <c r="AG184" s="492"/>
      <c r="AH184" s="492"/>
      <c r="AI184" s="492"/>
      <c r="AJ184" s="492"/>
      <c r="AK184" s="492"/>
      <c r="AL184" s="492"/>
      <c r="AM184" s="492"/>
      <c r="AN184" s="492"/>
      <c r="AO184" s="492"/>
      <c r="AP184" s="492"/>
      <c r="AQ184" s="492"/>
      <c r="AR184" s="492"/>
      <c r="AS184" s="492"/>
      <c r="AT184" s="492"/>
      <c r="AU184" s="492"/>
      <c r="AV184" s="492"/>
      <c r="AW184" s="492"/>
      <c r="AX184" s="492"/>
      <c r="AY184" s="492"/>
      <c r="AZ184" s="492"/>
    </row>
    <row r="185" spans="1:52" x14ac:dyDescent="0.2">
      <c r="A185" s="492"/>
      <c r="B185" s="492"/>
      <c r="C185" s="492"/>
      <c r="D185" s="492"/>
      <c r="E185" s="492"/>
      <c r="F185" s="492"/>
      <c r="G185" s="492"/>
      <c r="H185" s="492"/>
      <c r="I185" s="492"/>
      <c r="J185" s="492"/>
      <c r="K185" s="492"/>
      <c r="L185" s="492"/>
      <c r="M185" s="492"/>
      <c r="N185" s="492"/>
      <c r="O185" s="492"/>
      <c r="P185" s="492"/>
      <c r="Q185" s="492"/>
      <c r="R185" s="492"/>
      <c r="S185" s="492"/>
      <c r="T185" s="492"/>
      <c r="U185" s="492"/>
      <c r="V185" s="492"/>
      <c r="W185" s="492"/>
      <c r="X185" s="492"/>
      <c r="Y185" s="492"/>
      <c r="Z185" s="492"/>
      <c r="AA185" s="492"/>
      <c r="AB185" s="492"/>
      <c r="AC185" s="492"/>
      <c r="AD185" s="492"/>
      <c r="AE185" s="492"/>
      <c r="AF185" s="492"/>
      <c r="AG185" s="492"/>
      <c r="AH185" s="492"/>
      <c r="AI185" s="492"/>
      <c r="AJ185" s="492"/>
      <c r="AK185" s="492"/>
      <c r="AL185" s="492"/>
      <c r="AM185" s="492"/>
      <c r="AN185" s="492"/>
      <c r="AO185" s="492"/>
      <c r="AP185" s="492"/>
      <c r="AQ185" s="492"/>
      <c r="AR185" s="492"/>
      <c r="AS185" s="492"/>
      <c r="AT185" s="492"/>
      <c r="AU185" s="492"/>
      <c r="AV185" s="492"/>
      <c r="AW185" s="492"/>
      <c r="AX185" s="492"/>
      <c r="AY185" s="492"/>
      <c r="AZ185" s="492"/>
    </row>
    <row r="186" spans="1:52" x14ac:dyDescent="0.2">
      <c r="A186" s="492"/>
      <c r="B186" s="492"/>
      <c r="C186" s="492"/>
      <c r="D186" s="492"/>
      <c r="E186" s="492"/>
      <c r="F186" s="492"/>
      <c r="G186" s="492"/>
      <c r="H186" s="492"/>
      <c r="I186" s="492"/>
      <c r="J186" s="492"/>
      <c r="K186" s="492"/>
      <c r="L186" s="492"/>
      <c r="M186" s="492"/>
      <c r="N186" s="492"/>
      <c r="O186" s="492"/>
      <c r="P186" s="492"/>
      <c r="Q186" s="492"/>
      <c r="R186" s="492"/>
      <c r="S186" s="492"/>
      <c r="T186" s="492"/>
      <c r="U186" s="492"/>
      <c r="V186" s="492"/>
      <c r="W186" s="492"/>
      <c r="X186" s="492"/>
      <c r="Y186" s="492"/>
      <c r="Z186" s="492"/>
      <c r="AA186" s="492"/>
      <c r="AB186" s="492"/>
      <c r="AC186" s="492"/>
      <c r="AD186" s="492"/>
      <c r="AE186" s="492"/>
      <c r="AF186" s="492"/>
      <c r="AG186" s="492"/>
      <c r="AH186" s="492"/>
      <c r="AI186" s="492"/>
      <c r="AJ186" s="492"/>
      <c r="AK186" s="492"/>
      <c r="AL186" s="492"/>
      <c r="AM186" s="492"/>
      <c r="AN186" s="492"/>
      <c r="AO186" s="492"/>
      <c r="AP186" s="492"/>
      <c r="AQ186" s="492"/>
      <c r="AR186" s="492"/>
      <c r="AS186" s="492"/>
      <c r="AT186" s="492"/>
      <c r="AU186" s="492"/>
      <c r="AV186" s="492"/>
      <c r="AW186" s="492"/>
      <c r="AX186" s="492"/>
      <c r="AY186" s="492"/>
      <c r="AZ186" s="492"/>
    </row>
    <row r="187" spans="1:52" x14ac:dyDescent="0.2">
      <c r="A187" s="492"/>
      <c r="B187" s="492"/>
      <c r="C187" s="492"/>
      <c r="D187" s="492"/>
      <c r="E187" s="492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2"/>
      <c r="R187" s="492"/>
      <c r="S187" s="492"/>
      <c r="T187" s="492"/>
      <c r="U187" s="492"/>
      <c r="V187" s="492"/>
      <c r="W187" s="492"/>
      <c r="X187" s="492"/>
      <c r="Y187" s="492"/>
      <c r="Z187" s="492"/>
      <c r="AA187" s="492"/>
      <c r="AB187" s="492"/>
      <c r="AC187" s="492"/>
      <c r="AD187" s="492"/>
      <c r="AE187" s="492"/>
      <c r="AF187" s="492"/>
      <c r="AG187" s="492"/>
      <c r="AH187" s="492"/>
      <c r="AI187" s="492"/>
      <c r="AJ187" s="492"/>
      <c r="AK187" s="492"/>
      <c r="AL187" s="492"/>
      <c r="AM187" s="492"/>
      <c r="AN187" s="492"/>
      <c r="AO187" s="492"/>
      <c r="AP187" s="492"/>
      <c r="AQ187" s="492"/>
      <c r="AR187" s="492"/>
      <c r="AS187" s="492"/>
      <c r="AT187" s="492"/>
      <c r="AU187" s="492"/>
      <c r="AV187" s="492"/>
      <c r="AW187" s="492"/>
      <c r="AX187" s="492"/>
      <c r="AY187" s="492"/>
      <c r="AZ187" s="492"/>
    </row>
    <row r="188" spans="1:52" x14ac:dyDescent="0.2">
      <c r="A188" s="492"/>
      <c r="B188" s="492"/>
      <c r="C188" s="492"/>
      <c r="D188" s="492"/>
      <c r="E188" s="492"/>
      <c r="F188" s="492"/>
      <c r="G188" s="492"/>
      <c r="H188" s="492"/>
      <c r="I188" s="492"/>
      <c r="J188" s="492"/>
      <c r="K188" s="492"/>
      <c r="L188" s="492"/>
      <c r="M188" s="492"/>
      <c r="N188" s="492"/>
      <c r="O188" s="492"/>
      <c r="P188" s="492"/>
      <c r="Q188" s="492"/>
      <c r="R188" s="492"/>
      <c r="S188" s="492"/>
      <c r="T188" s="492"/>
      <c r="U188" s="492"/>
      <c r="V188" s="492"/>
      <c r="W188" s="492"/>
      <c r="X188" s="492"/>
      <c r="Y188" s="492"/>
      <c r="Z188" s="492"/>
      <c r="AA188" s="492"/>
      <c r="AB188" s="492"/>
      <c r="AC188" s="492"/>
      <c r="AD188" s="492"/>
      <c r="AE188" s="492"/>
      <c r="AF188" s="492"/>
      <c r="AG188" s="492"/>
      <c r="AH188" s="492"/>
      <c r="AI188" s="492"/>
      <c r="AJ188" s="492"/>
      <c r="AK188" s="492"/>
      <c r="AL188" s="492"/>
      <c r="AM188" s="492"/>
      <c r="AN188" s="492"/>
      <c r="AO188" s="492"/>
      <c r="AP188" s="492"/>
      <c r="AQ188" s="492"/>
      <c r="AR188" s="492"/>
      <c r="AS188" s="492"/>
      <c r="AT188" s="492"/>
      <c r="AU188" s="492"/>
      <c r="AV188" s="492"/>
      <c r="AW188" s="492"/>
      <c r="AX188" s="492"/>
      <c r="AY188" s="492"/>
      <c r="AZ188" s="492"/>
    </row>
    <row r="189" spans="1:52" x14ac:dyDescent="0.2">
      <c r="A189" s="492"/>
      <c r="B189" s="492"/>
      <c r="C189" s="492"/>
      <c r="D189" s="492"/>
      <c r="E189" s="492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2"/>
      <c r="R189" s="492"/>
      <c r="S189" s="492"/>
      <c r="T189" s="492"/>
      <c r="U189" s="492"/>
      <c r="V189" s="492"/>
      <c r="W189" s="492"/>
      <c r="X189" s="492"/>
      <c r="Y189" s="492"/>
      <c r="Z189" s="492"/>
      <c r="AA189" s="492"/>
      <c r="AB189" s="492"/>
      <c r="AC189" s="492"/>
      <c r="AD189" s="492"/>
      <c r="AE189" s="492"/>
      <c r="AF189" s="492"/>
      <c r="AG189" s="492"/>
      <c r="AH189" s="492"/>
      <c r="AI189" s="492"/>
      <c r="AJ189" s="492"/>
      <c r="AK189" s="492"/>
      <c r="AL189" s="492"/>
      <c r="AM189" s="492"/>
      <c r="AN189" s="492"/>
      <c r="AO189" s="492"/>
      <c r="AP189" s="492"/>
      <c r="AQ189" s="492"/>
      <c r="AR189" s="492"/>
      <c r="AS189" s="492"/>
      <c r="AT189" s="492"/>
      <c r="AU189" s="492"/>
      <c r="AV189" s="492"/>
      <c r="AW189" s="492"/>
      <c r="AX189" s="492"/>
      <c r="AY189" s="492"/>
      <c r="AZ189" s="492"/>
    </row>
    <row r="190" spans="1:52" x14ac:dyDescent="0.2">
      <c r="A190" s="492"/>
      <c r="B190" s="492"/>
      <c r="C190" s="492"/>
      <c r="D190" s="492"/>
      <c r="E190" s="492"/>
      <c r="F190" s="492"/>
      <c r="G190" s="492"/>
      <c r="H190" s="492"/>
      <c r="I190" s="492"/>
      <c r="J190" s="492"/>
      <c r="K190" s="492"/>
      <c r="L190" s="492"/>
      <c r="M190" s="492"/>
      <c r="N190" s="492"/>
      <c r="O190" s="492"/>
      <c r="P190" s="492"/>
      <c r="Q190" s="492"/>
      <c r="R190" s="492"/>
      <c r="S190" s="492"/>
      <c r="T190" s="492"/>
      <c r="U190" s="492"/>
      <c r="V190" s="492"/>
      <c r="W190" s="492"/>
      <c r="X190" s="492"/>
      <c r="Y190" s="492"/>
      <c r="Z190" s="492"/>
      <c r="AA190" s="492"/>
      <c r="AB190" s="492"/>
      <c r="AC190" s="492"/>
      <c r="AD190" s="492"/>
      <c r="AE190" s="492"/>
      <c r="AF190" s="492"/>
      <c r="AG190" s="492"/>
      <c r="AH190" s="492"/>
      <c r="AI190" s="492"/>
      <c r="AJ190" s="492"/>
      <c r="AK190" s="492"/>
      <c r="AL190" s="492"/>
      <c r="AM190" s="492"/>
      <c r="AN190" s="492"/>
      <c r="AO190" s="492"/>
      <c r="AP190" s="492"/>
      <c r="AQ190" s="492"/>
      <c r="AR190" s="492"/>
      <c r="AS190" s="492"/>
      <c r="AT190" s="492"/>
      <c r="AU190" s="492"/>
      <c r="AV190" s="492"/>
      <c r="AW190" s="492"/>
      <c r="AX190" s="492"/>
      <c r="AY190" s="492"/>
      <c r="AZ190" s="492"/>
    </row>
    <row r="191" spans="1:52" x14ac:dyDescent="0.2">
      <c r="A191" s="492"/>
      <c r="B191" s="492"/>
      <c r="C191" s="492"/>
      <c r="D191" s="492"/>
      <c r="E191" s="492"/>
      <c r="F191" s="492"/>
      <c r="G191" s="492"/>
      <c r="H191" s="492"/>
      <c r="I191" s="492"/>
      <c r="J191" s="492"/>
      <c r="K191" s="492"/>
      <c r="L191" s="492"/>
      <c r="M191" s="492"/>
      <c r="N191" s="492"/>
      <c r="O191" s="492"/>
      <c r="P191" s="492"/>
      <c r="Q191" s="492"/>
      <c r="R191" s="492"/>
      <c r="S191" s="492"/>
      <c r="T191" s="492"/>
      <c r="U191" s="492"/>
      <c r="V191" s="492"/>
      <c r="W191" s="492"/>
      <c r="X191" s="492"/>
      <c r="Y191" s="492"/>
      <c r="Z191" s="492"/>
      <c r="AA191" s="492"/>
      <c r="AB191" s="492"/>
      <c r="AC191" s="492"/>
      <c r="AD191" s="492"/>
      <c r="AE191" s="492"/>
      <c r="AF191" s="492"/>
      <c r="AG191" s="492"/>
      <c r="AH191" s="492"/>
      <c r="AI191" s="492"/>
      <c r="AJ191" s="492"/>
      <c r="AK191" s="492"/>
      <c r="AL191" s="492"/>
      <c r="AM191" s="492"/>
      <c r="AN191" s="492"/>
      <c r="AO191" s="492"/>
      <c r="AP191" s="492"/>
      <c r="AQ191" s="492"/>
      <c r="AR191" s="492"/>
      <c r="AS191" s="492"/>
      <c r="AT191" s="492"/>
      <c r="AU191" s="492"/>
      <c r="AV191" s="492"/>
      <c r="AW191" s="492"/>
      <c r="AX191" s="492"/>
      <c r="AY191" s="492"/>
      <c r="AZ191" s="492"/>
    </row>
    <row r="192" spans="1:52" x14ac:dyDescent="0.2">
      <c r="A192" s="492"/>
      <c r="B192" s="492"/>
      <c r="C192" s="492"/>
      <c r="D192" s="492"/>
      <c r="E192" s="492"/>
      <c r="F192" s="492"/>
      <c r="G192" s="492"/>
      <c r="H192" s="492"/>
      <c r="I192" s="492"/>
      <c r="J192" s="492"/>
      <c r="K192" s="492"/>
      <c r="L192" s="492"/>
      <c r="M192" s="492"/>
      <c r="N192" s="492"/>
      <c r="O192" s="492"/>
      <c r="P192" s="492"/>
      <c r="Q192" s="492"/>
      <c r="R192" s="492"/>
      <c r="S192" s="492"/>
      <c r="T192" s="492"/>
      <c r="U192" s="492"/>
      <c r="V192" s="492"/>
      <c r="W192" s="492"/>
      <c r="X192" s="492"/>
      <c r="Y192" s="492"/>
      <c r="Z192" s="492"/>
      <c r="AA192" s="492"/>
      <c r="AB192" s="492"/>
      <c r="AC192" s="492"/>
      <c r="AD192" s="492"/>
      <c r="AE192" s="492"/>
      <c r="AF192" s="492"/>
      <c r="AG192" s="492"/>
      <c r="AH192" s="492"/>
      <c r="AI192" s="492"/>
      <c r="AJ192" s="492"/>
      <c r="AK192" s="492"/>
      <c r="AL192" s="492"/>
      <c r="AM192" s="492"/>
      <c r="AN192" s="492"/>
      <c r="AO192" s="492"/>
      <c r="AP192" s="492"/>
      <c r="AQ192" s="492"/>
      <c r="AR192" s="492"/>
      <c r="AS192" s="492"/>
      <c r="AT192" s="492"/>
      <c r="AU192" s="492"/>
      <c r="AV192" s="492"/>
      <c r="AW192" s="492"/>
      <c r="AX192" s="492"/>
      <c r="AY192" s="492"/>
      <c r="AZ192" s="492"/>
    </row>
    <row r="193" spans="1:52" x14ac:dyDescent="0.2">
      <c r="A193" s="492"/>
      <c r="B193" s="492"/>
      <c r="C193" s="492"/>
      <c r="D193" s="492"/>
      <c r="E193" s="492"/>
      <c r="F193" s="492"/>
      <c r="G193" s="492"/>
      <c r="H193" s="492"/>
      <c r="I193" s="492"/>
      <c r="J193" s="492"/>
      <c r="K193" s="492"/>
      <c r="L193" s="492"/>
      <c r="M193" s="492"/>
      <c r="N193" s="492"/>
      <c r="O193" s="492"/>
      <c r="P193" s="492"/>
      <c r="Q193" s="492"/>
      <c r="R193" s="492"/>
      <c r="S193" s="492"/>
      <c r="T193" s="492"/>
      <c r="U193" s="492"/>
      <c r="V193" s="492"/>
      <c r="W193" s="492"/>
      <c r="X193" s="492"/>
      <c r="Y193" s="492"/>
      <c r="Z193" s="492"/>
      <c r="AA193" s="492"/>
      <c r="AB193" s="492"/>
      <c r="AC193" s="492"/>
      <c r="AD193" s="492"/>
      <c r="AE193" s="492"/>
      <c r="AF193" s="492"/>
      <c r="AG193" s="492"/>
      <c r="AH193" s="492"/>
      <c r="AI193" s="492"/>
      <c r="AJ193" s="492"/>
      <c r="AK193" s="492"/>
      <c r="AL193" s="492"/>
      <c r="AM193" s="492"/>
      <c r="AN193" s="492"/>
      <c r="AO193" s="492"/>
      <c r="AP193" s="492"/>
      <c r="AQ193" s="492"/>
      <c r="AR193" s="492"/>
      <c r="AS193" s="492"/>
      <c r="AT193" s="492"/>
      <c r="AU193" s="492"/>
      <c r="AV193" s="492"/>
      <c r="AW193" s="492"/>
      <c r="AX193" s="492"/>
      <c r="AY193" s="492"/>
      <c r="AZ193" s="492"/>
    </row>
    <row r="194" spans="1:52" x14ac:dyDescent="0.2">
      <c r="A194" s="492"/>
      <c r="B194" s="492"/>
      <c r="C194" s="492"/>
      <c r="D194" s="492"/>
      <c r="E194" s="492"/>
      <c r="F194" s="492"/>
      <c r="G194" s="492"/>
      <c r="H194" s="492"/>
      <c r="I194" s="492"/>
      <c r="J194" s="492"/>
      <c r="K194" s="492"/>
      <c r="L194" s="492"/>
      <c r="M194" s="492"/>
      <c r="N194" s="492"/>
      <c r="O194" s="492"/>
      <c r="P194" s="492"/>
      <c r="Q194" s="492"/>
      <c r="R194" s="492"/>
      <c r="S194" s="492"/>
      <c r="T194" s="492"/>
      <c r="U194" s="492"/>
      <c r="V194" s="492"/>
      <c r="W194" s="492"/>
      <c r="X194" s="492"/>
      <c r="Y194" s="492"/>
      <c r="Z194" s="492"/>
      <c r="AA194" s="492"/>
      <c r="AB194" s="492"/>
      <c r="AC194" s="492"/>
      <c r="AD194" s="492"/>
      <c r="AE194" s="492"/>
      <c r="AF194" s="492"/>
      <c r="AG194" s="492"/>
      <c r="AH194" s="492"/>
      <c r="AI194" s="492"/>
      <c r="AJ194" s="492"/>
      <c r="AK194" s="492"/>
      <c r="AL194" s="492"/>
      <c r="AM194" s="492"/>
      <c r="AN194" s="492"/>
      <c r="AO194" s="492"/>
      <c r="AP194" s="492"/>
      <c r="AQ194" s="492"/>
      <c r="AR194" s="492"/>
      <c r="AS194" s="492"/>
      <c r="AT194" s="492"/>
      <c r="AU194" s="492"/>
      <c r="AV194" s="492"/>
      <c r="AW194" s="492"/>
      <c r="AX194" s="492"/>
      <c r="AY194" s="492"/>
      <c r="AZ194" s="492"/>
    </row>
    <row r="195" spans="1:52" x14ac:dyDescent="0.2">
      <c r="A195" s="492"/>
      <c r="B195" s="492"/>
      <c r="C195" s="492"/>
      <c r="D195" s="492"/>
      <c r="E195" s="492"/>
      <c r="F195" s="492"/>
      <c r="G195" s="492"/>
      <c r="H195" s="492"/>
      <c r="I195" s="492"/>
      <c r="J195" s="492"/>
      <c r="K195" s="492"/>
      <c r="L195" s="492"/>
      <c r="M195" s="492"/>
      <c r="N195" s="492"/>
      <c r="O195" s="492"/>
      <c r="P195" s="492"/>
      <c r="Q195" s="492"/>
      <c r="R195" s="492"/>
      <c r="S195" s="492"/>
      <c r="T195" s="492"/>
      <c r="U195" s="492"/>
      <c r="V195" s="492"/>
      <c r="W195" s="492"/>
      <c r="X195" s="492"/>
      <c r="Y195" s="492"/>
      <c r="Z195" s="492"/>
      <c r="AA195" s="492"/>
      <c r="AB195" s="492"/>
      <c r="AC195" s="492"/>
      <c r="AD195" s="492"/>
      <c r="AE195" s="492"/>
      <c r="AF195" s="492"/>
      <c r="AG195" s="492"/>
      <c r="AH195" s="492"/>
      <c r="AI195" s="492"/>
      <c r="AJ195" s="492"/>
      <c r="AK195" s="492"/>
      <c r="AL195" s="492"/>
      <c r="AM195" s="492"/>
      <c r="AN195" s="492"/>
      <c r="AO195" s="492"/>
      <c r="AP195" s="492"/>
      <c r="AQ195" s="492"/>
      <c r="AR195" s="492"/>
      <c r="AS195" s="492"/>
      <c r="AT195" s="492"/>
      <c r="AU195" s="492"/>
      <c r="AV195" s="492"/>
      <c r="AW195" s="492"/>
      <c r="AX195" s="492"/>
      <c r="AY195" s="492"/>
      <c r="AZ195" s="492"/>
    </row>
    <row r="196" spans="1:52" x14ac:dyDescent="0.2">
      <c r="A196" s="492"/>
      <c r="B196" s="492"/>
      <c r="C196" s="492"/>
      <c r="D196" s="492"/>
      <c r="E196" s="492"/>
      <c r="F196" s="492"/>
      <c r="G196" s="492"/>
      <c r="H196" s="492"/>
      <c r="I196" s="492"/>
      <c r="J196" s="492"/>
      <c r="K196" s="492"/>
      <c r="L196" s="492"/>
      <c r="M196" s="492"/>
      <c r="N196" s="492"/>
      <c r="O196" s="492"/>
      <c r="P196" s="492"/>
      <c r="Q196" s="492"/>
      <c r="R196" s="492"/>
      <c r="S196" s="492"/>
      <c r="T196" s="492"/>
      <c r="U196" s="492"/>
      <c r="V196" s="492"/>
      <c r="W196" s="492"/>
      <c r="X196" s="492"/>
      <c r="Y196" s="492"/>
      <c r="Z196" s="492"/>
      <c r="AA196" s="492"/>
      <c r="AB196" s="492"/>
      <c r="AC196" s="492"/>
      <c r="AD196" s="492"/>
      <c r="AE196" s="492"/>
      <c r="AF196" s="492"/>
      <c r="AG196" s="492"/>
      <c r="AH196" s="492"/>
      <c r="AI196" s="492"/>
      <c r="AJ196" s="492"/>
      <c r="AK196" s="492"/>
      <c r="AL196" s="492"/>
      <c r="AM196" s="492"/>
      <c r="AN196" s="492"/>
      <c r="AO196" s="492"/>
      <c r="AP196" s="492"/>
      <c r="AQ196" s="492"/>
      <c r="AR196" s="492"/>
      <c r="AS196" s="492"/>
      <c r="AT196" s="492"/>
      <c r="AU196" s="492"/>
      <c r="AV196" s="492"/>
      <c r="AW196" s="492"/>
      <c r="AX196" s="492"/>
      <c r="AY196" s="492"/>
      <c r="AZ196" s="492"/>
    </row>
    <row r="197" spans="1:52" x14ac:dyDescent="0.2">
      <c r="A197" s="492"/>
      <c r="B197" s="492"/>
      <c r="C197" s="492"/>
      <c r="D197" s="492"/>
      <c r="E197" s="492"/>
      <c r="F197" s="492"/>
      <c r="G197" s="492"/>
      <c r="H197" s="492"/>
      <c r="I197" s="492"/>
      <c r="J197" s="492"/>
      <c r="K197" s="492"/>
      <c r="L197" s="492"/>
      <c r="M197" s="492"/>
      <c r="N197" s="492"/>
      <c r="O197" s="492"/>
      <c r="P197" s="492"/>
      <c r="Q197" s="492"/>
      <c r="R197" s="492"/>
      <c r="S197" s="492"/>
      <c r="T197" s="492"/>
      <c r="U197" s="492"/>
      <c r="V197" s="492"/>
      <c r="W197" s="492"/>
      <c r="X197" s="492"/>
      <c r="Y197" s="492"/>
      <c r="Z197" s="492"/>
      <c r="AA197" s="492"/>
      <c r="AB197" s="492"/>
      <c r="AC197" s="492"/>
      <c r="AD197" s="492"/>
      <c r="AE197" s="492"/>
      <c r="AF197" s="492"/>
      <c r="AG197" s="492"/>
      <c r="AH197" s="492"/>
      <c r="AI197" s="492"/>
      <c r="AJ197" s="492"/>
      <c r="AK197" s="492"/>
      <c r="AL197" s="492"/>
      <c r="AM197" s="492"/>
      <c r="AN197" s="492"/>
      <c r="AO197" s="492"/>
      <c r="AP197" s="492"/>
      <c r="AQ197" s="492"/>
      <c r="AR197" s="492"/>
      <c r="AS197" s="492"/>
      <c r="AT197" s="492"/>
      <c r="AU197" s="492"/>
      <c r="AV197" s="492"/>
      <c r="AW197" s="492"/>
      <c r="AX197" s="492"/>
      <c r="AY197" s="492"/>
      <c r="AZ197" s="492"/>
    </row>
    <row r="198" spans="1:52" x14ac:dyDescent="0.2">
      <c r="A198" s="492"/>
      <c r="B198" s="492"/>
      <c r="C198" s="492"/>
      <c r="D198" s="492"/>
      <c r="E198" s="492"/>
      <c r="F198" s="492"/>
      <c r="G198" s="492"/>
      <c r="H198" s="492"/>
      <c r="I198" s="492"/>
      <c r="J198" s="492"/>
      <c r="K198" s="492"/>
      <c r="L198" s="492"/>
      <c r="M198" s="492"/>
      <c r="N198" s="492"/>
      <c r="O198" s="492"/>
      <c r="P198" s="492"/>
      <c r="Q198" s="492"/>
      <c r="R198" s="492"/>
      <c r="S198" s="492"/>
      <c r="T198" s="492"/>
      <c r="U198" s="492"/>
      <c r="V198" s="492"/>
      <c r="W198" s="492"/>
      <c r="X198" s="492"/>
      <c r="Y198" s="492"/>
      <c r="Z198" s="492"/>
      <c r="AA198" s="492"/>
      <c r="AB198" s="492"/>
      <c r="AC198" s="492"/>
      <c r="AD198" s="492"/>
      <c r="AE198" s="492"/>
      <c r="AF198" s="492"/>
      <c r="AG198" s="492"/>
      <c r="AH198" s="492"/>
      <c r="AI198" s="492"/>
      <c r="AJ198" s="492"/>
      <c r="AK198" s="492"/>
      <c r="AL198" s="492"/>
      <c r="AM198" s="492"/>
      <c r="AN198" s="492"/>
      <c r="AO198" s="492"/>
      <c r="AP198" s="492"/>
      <c r="AQ198" s="492"/>
      <c r="AR198" s="492"/>
      <c r="AS198" s="492"/>
      <c r="AT198" s="492"/>
      <c r="AU198" s="492"/>
      <c r="AV198" s="492"/>
      <c r="AW198" s="492"/>
      <c r="AX198" s="492"/>
      <c r="AY198" s="492"/>
      <c r="AZ198" s="492"/>
    </row>
    <row r="199" spans="1:52" x14ac:dyDescent="0.2">
      <c r="A199" s="492"/>
      <c r="B199" s="492"/>
      <c r="C199" s="492"/>
      <c r="D199" s="492"/>
      <c r="E199" s="492"/>
      <c r="F199" s="492"/>
      <c r="G199" s="492"/>
      <c r="H199" s="492"/>
      <c r="I199" s="492"/>
      <c r="J199" s="492"/>
      <c r="K199" s="492"/>
      <c r="L199" s="492"/>
      <c r="M199" s="492"/>
      <c r="N199" s="492"/>
      <c r="O199" s="492"/>
      <c r="P199" s="492"/>
      <c r="Q199" s="492"/>
      <c r="R199" s="492"/>
      <c r="S199" s="492"/>
      <c r="T199" s="492"/>
      <c r="U199" s="492"/>
      <c r="V199" s="492"/>
      <c r="W199" s="492"/>
      <c r="X199" s="492"/>
      <c r="Y199" s="492"/>
      <c r="Z199" s="492"/>
      <c r="AA199" s="492"/>
      <c r="AB199" s="492"/>
      <c r="AC199" s="492"/>
      <c r="AD199" s="492"/>
      <c r="AE199" s="492"/>
      <c r="AF199" s="492"/>
      <c r="AG199" s="492"/>
      <c r="AH199" s="492"/>
      <c r="AI199" s="492"/>
      <c r="AJ199" s="492"/>
      <c r="AK199" s="492"/>
      <c r="AL199" s="492"/>
      <c r="AM199" s="492"/>
      <c r="AN199" s="492"/>
      <c r="AO199" s="492"/>
      <c r="AP199" s="492"/>
      <c r="AQ199" s="492"/>
      <c r="AR199" s="492"/>
      <c r="AS199" s="492"/>
      <c r="AT199" s="492"/>
      <c r="AU199" s="492"/>
      <c r="AV199" s="492"/>
      <c r="AW199" s="492"/>
      <c r="AX199" s="492"/>
      <c r="AY199" s="492"/>
      <c r="AZ199" s="492"/>
    </row>
    <row r="200" spans="1:52" x14ac:dyDescent="0.2">
      <c r="A200" s="492"/>
      <c r="B200" s="492"/>
      <c r="C200" s="492"/>
      <c r="D200" s="492"/>
      <c r="E200" s="492"/>
      <c r="F200" s="492"/>
      <c r="G200" s="492"/>
      <c r="H200" s="492"/>
      <c r="I200" s="492"/>
      <c r="J200" s="492"/>
      <c r="K200" s="492"/>
      <c r="L200" s="492"/>
      <c r="M200" s="492"/>
      <c r="N200" s="492"/>
      <c r="O200" s="492"/>
      <c r="P200" s="492"/>
      <c r="Q200" s="492"/>
      <c r="R200" s="492"/>
      <c r="S200" s="492"/>
      <c r="T200" s="492"/>
      <c r="U200" s="492"/>
      <c r="V200" s="492"/>
      <c r="W200" s="492"/>
      <c r="X200" s="492"/>
      <c r="Y200" s="492"/>
      <c r="Z200" s="492"/>
      <c r="AA200" s="492"/>
      <c r="AB200" s="492"/>
      <c r="AC200" s="492"/>
      <c r="AD200" s="492"/>
      <c r="AE200" s="492"/>
      <c r="AF200" s="492"/>
      <c r="AG200" s="492"/>
      <c r="AH200" s="492"/>
      <c r="AI200" s="492"/>
      <c r="AJ200" s="492"/>
      <c r="AK200" s="492"/>
      <c r="AL200" s="492"/>
      <c r="AM200" s="492"/>
      <c r="AN200" s="492"/>
      <c r="AO200" s="492"/>
      <c r="AP200" s="492"/>
      <c r="AQ200" s="492"/>
      <c r="AR200" s="492"/>
      <c r="AS200" s="492"/>
      <c r="AT200" s="492"/>
      <c r="AU200" s="492"/>
      <c r="AV200" s="492"/>
      <c r="AW200" s="492"/>
      <c r="AX200" s="492"/>
      <c r="AY200" s="492"/>
      <c r="AZ200" s="492"/>
    </row>
    <row r="201" spans="1:52" x14ac:dyDescent="0.2">
      <c r="A201" s="492"/>
      <c r="B201" s="492"/>
      <c r="C201" s="492"/>
      <c r="D201" s="492"/>
      <c r="E201" s="492"/>
      <c r="F201" s="492"/>
      <c r="G201" s="492"/>
      <c r="H201" s="492"/>
      <c r="I201" s="492"/>
      <c r="J201" s="492"/>
      <c r="K201" s="492"/>
      <c r="L201" s="492"/>
      <c r="M201" s="492"/>
      <c r="N201" s="492"/>
      <c r="O201" s="492"/>
      <c r="P201" s="492"/>
      <c r="Q201" s="492"/>
      <c r="R201" s="492"/>
      <c r="S201" s="492"/>
      <c r="T201" s="492"/>
      <c r="U201" s="492"/>
      <c r="V201" s="492"/>
      <c r="W201" s="492"/>
      <c r="X201" s="492"/>
      <c r="Y201" s="492"/>
      <c r="Z201" s="492"/>
      <c r="AA201" s="492"/>
      <c r="AB201" s="492"/>
      <c r="AC201" s="492"/>
      <c r="AD201" s="492"/>
      <c r="AE201" s="492"/>
      <c r="AF201" s="492"/>
      <c r="AG201" s="492"/>
      <c r="AH201" s="492"/>
      <c r="AI201" s="492"/>
      <c r="AJ201" s="492"/>
      <c r="AK201" s="492"/>
      <c r="AL201" s="492"/>
      <c r="AM201" s="492"/>
      <c r="AN201" s="492"/>
      <c r="AO201" s="492"/>
      <c r="AP201" s="492"/>
      <c r="AQ201" s="492"/>
      <c r="AR201" s="492"/>
      <c r="AS201" s="492"/>
      <c r="AT201" s="492"/>
      <c r="AU201" s="492"/>
      <c r="AV201" s="492"/>
      <c r="AW201" s="492"/>
      <c r="AX201" s="492"/>
      <c r="AY201" s="492"/>
      <c r="AZ201" s="492"/>
    </row>
    <row r="202" spans="1:52" x14ac:dyDescent="0.2">
      <c r="A202" s="492"/>
      <c r="B202" s="492"/>
      <c r="C202" s="492"/>
      <c r="D202" s="492"/>
      <c r="E202" s="492"/>
      <c r="F202" s="492"/>
      <c r="G202" s="492"/>
      <c r="H202" s="492"/>
      <c r="I202" s="492"/>
      <c r="J202" s="492"/>
      <c r="K202" s="492"/>
      <c r="L202" s="492"/>
      <c r="M202" s="492"/>
      <c r="N202" s="492"/>
      <c r="O202" s="492"/>
      <c r="P202" s="492"/>
      <c r="Q202" s="492"/>
      <c r="R202" s="492"/>
      <c r="S202" s="492"/>
      <c r="T202" s="492"/>
      <c r="U202" s="492"/>
      <c r="V202" s="492"/>
      <c r="W202" s="492"/>
      <c r="X202" s="492"/>
      <c r="Y202" s="492"/>
      <c r="Z202" s="492"/>
      <c r="AA202" s="492"/>
      <c r="AB202" s="492"/>
      <c r="AC202" s="492"/>
      <c r="AD202" s="492"/>
      <c r="AE202" s="492"/>
      <c r="AF202" s="492"/>
      <c r="AG202" s="492"/>
      <c r="AH202" s="492"/>
      <c r="AI202" s="492"/>
      <c r="AJ202" s="492"/>
      <c r="AK202" s="492"/>
      <c r="AL202" s="492"/>
      <c r="AM202" s="492"/>
      <c r="AN202" s="492"/>
      <c r="AO202" s="492"/>
      <c r="AP202" s="492"/>
      <c r="AQ202" s="492"/>
      <c r="AR202" s="492"/>
      <c r="AS202" s="492"/>
      <c r="AT202" s="492"/>
      <c r="AU202" s="492"/>
      <c r="AV202" s="492"/>
      <c r="AW202" s="492"/>
      <c r="AX202" s="492"/>
      <c r="AY202" s="492"/>
      <c r="AZ202" s="492"/>
    </row>
    <row r="203" spans="1:52" x14ac:dyDescent="0.2">
      <c r="A203" s="492"/>
      <c r="B203" s="492"/>
      <c r="C203" s="492"/>
      <c r="D203" s="492"/>
      <c r="E203" s="492"/>
      <c r="F203" s="492"/>
      <c r="G203" s="492"/>
      <c r="H203" s="492"/>
      <c r="I203" s="492"/>
      <c r="J203" s="492"/>
      <c r="K203" s="492"/>
      <c r="L203" s="492"/>
      <c r="M203" s="492"/>
      <c r="N203" s="492"/>
      <c r="O203" s="492"/>
      <c r="P203" s="492"/>
      <c r="Q203" s="492"/>
      <c r="R203" s="492"/>
      <c r="S203" s="492"/>
      <c r="T203" s="492"/>
      <c r="U203" s="492"/>
      <c r="V203" s="492"/>
      <c r="W203" s="492"/>
      <c r="X203" s="492"/>
      <c r="Y203" s="492"/>
      <c r="Z203" s="492"/>
      <c r="AA203" s="492"/>
      <c r="AB203" s="492"/>
      <c r="AC203" s="492"/>
      <c r="AD203" s="492"/>
      <c r="AE203" s="492"/>
      <c r="AF203" s="492"/>
      <c r="AG203" s="492"/>
      <c r="AH203" s="492"/>
      <c r="AI203" s="492"/>
      <c r="AJ203" s="492"/>
      <c r="AK203" s="492"/>
      <c r="AL203" s="492"/>
      <c r="AM203" s="492"/>
      <c r="AN203" s="492"/>
      <c r="AO203" s="492"/>
      <c r="AP203" s="492"/>
      <c r="AQ203" s="492"/>
      <c r="AR203" s="492"/>
      <c r="AS203" s="492"/>
      <c r="AT203" s="492"/>
      <c r="AU203" s="492"/>
      <c r="AV203" s="492"/>
      <c r="AW203" s="492"/>
      <c r="AX203" s="492"/>
      <c r="AY203" s="492"/>
      <c r="AZ203" s="492"/>
    </row>
    <row r="204" spans="1:52" x14ac:dyDescent="0.2">
      <c r="A204" s="492"/>
      <c r="B204" s="492"/>
      <c r="C204" s="492"/>
      <c r="D204" s="492"/>
      <c r="E204" s="492"/>
      <c r="F204" s="492"/>
      <c r="G204" s="492"/>
      <c r="H204" s="492"/>
      <c r="I204" s="492"/>
      <c r="J204" s="492"/>
      <c r="K204" s="492"/>
      <c r="L204" s="492"/>
      <c r="M204" s="492"/>
      <c r="N204" s="492"/>
      <c r="O204" s="492"/>
      <c r="P204" s="492"/>
      <c r="Q204" s="492"/>
      <c r="R204" s="492"/>
      <c r="S204" s="492"/>
      <c r="T204" s="492"/>
      <c r="U204" s="492"/>
      <c r="V204" s="492"/>
      <c r="W204" s="492"/>
      <c r="X204" s="492"/>
      <c r="Y204" s="492"/>
      <c r="Z204" s="492"/>
      <c r="AA204" s="492"/>
      <c r="AB204" s="492"/>
      <c r="AC204" s="492"/>
      <c r="AD204" s="492"/>
      <c r="AE204" s="492"/>
      <c r="AF204" s="492"/>
      <c r="AG204" s="492"/>
      <c r="AH204" s="492"/>
      <c r="AI204" s="492"/>
      <c r="AJ204" s="492"/>
      <c r="AK204" s="492"/>
      <c r="AL204" s="492"/>
      <c r="AM204" s="492"/>
      <c r="AN204" s="492"/>
      <c r="AO204" s="492"/>
      <c r="AP204" s="492"/>
      <c r="AQ204" s="492"/>
      <c r="AR204" s="492"/>
      <c r="AS204" s="492"/>
      <c r="AT204" s="492"/>
      <c r="AU204" s="492"/>
      <c r="AV204" s="492"/>
      <c r="AW204" s="492"/>
      <c r="AX204" s="492"/>
      <c r="AY204" s="492"/>
      <c r="AZ204" s="492"/>
    </row>
    <row r="205" spans="1:52" x14ac:dyDescent="0.2">
      <c r="A205" s="492"/>
      <c r="B205" s="492"/>
      <c r="C205" s="492"/>
      <c r="D205" s="492"/>
      <c r="E205" s="492"/>
      <c r="F205" s="492"/>
      <c r="G205" s="492"/>
      <c r="H205" s="492"/>
      <c r="I205" s="492"/>
      <c r="J205" s="492"/>
      <c r="K205" s="492"/>
      <c r="L205" s="492"/>
      <c r="M205" s="492"/>
      <c r="N205" s="492"/>
      <c r="O205" s="492"/>
      <c r="P205" s="492"/>
      <c r="Q205" s="492"/>
      <c r="R205" s="492"/>
      <c r="S205" s="492"/>
      <c r="T205" s="492"/>
      <c r="U205" s="492"/>
      <c r="V205" s="492"/>
      <c r="W205" s="492"/>
      <c r="X205" s="492"/>
      <c r="Y205" s="492"/>
      <c r="Z205" s="492"/>
      <c r="AA205" s="492"/>
      <c r="AB205" s="492"/>
      <c r="AC205" s="492"/>
      <c r="AD205" s="492"/>
      <c r="AE205" s="492"/>
      <c r="AF205" s="492"/>
      <c r="AG205" s="492"/>
      <c r="AH205" s="492"/>
      <c r="AI205" s="492"/>
      <c r="AJ205" s="492"/>
      <c r="AK205" s="492"/>
      <c r="AL205" s="492"/>
      <c r="AM205" s="492"/>
      <c r="AN205" s="492"/>
      <c r="AO205" s="492"/>
      <c r="AP205" s="492"/>
      <c r="AQ205" s="492"/>
      <c r="AR205" s="492"/>
      <c r="AS205" s="492"/>
      <c r="AT205" s="492"/>
      <c r="AU205" s="492"/>
      <c r="AV205" s="492"/>
      <c r="AW205" s="492"/>
      <c r="AX205" s="492"/>
      <c r="AY205" s="492"/>
      <c r="AZ205" s="492"/>
    </row>
    <row r="206" spans="1:52" x14ac:dyDescent="0.2">
      <c r="A206" s="492"/>
      <c r="B206" s="492"/>
      <c r="C206" s="492"/>
      <c r="D206" s="492"/>
      <c r="E206" s="492"/>
      <c r="F206" s="492"/>
      <c r="G206" s="492"/>
      <c r="H206" s="492"/>
      <c r="I206" s="492"/>
      <c r="J206" s="492"/>
      <c r="K206" s="492"/>
      <c r="L206" s="492"/>
      <c r="M206" s="492"/>
      <c r="N206" s="492"/>
      <c r="O206" s="492"/>
      <c r="P206" s="492"/>
      <c r="Q206" s="492"/>
      <c r="R206" s="492"/>
      <c r="S206" s="492"/>
      <c r="T206" s="492"/>
      <c r="U206" s="492"/>
      <c r="V206" s="492"/>
      <c r="W206" s="492"/>
      <c r="X206" s="492"/>
      <c r="Y206" s="492"/>
      <c r="Z206" s="492"/>
      <c r="AA206" s="492"/>
      <c r="AB206" s="492"/>
      <c r="AC206" s="492"/>
      <c r="AD206" s="492"/>
      <c r="AE206" s="492"/>
      <c r="AF206" s="492"/>
      <c r="AG206" s="492"/>
      <c r="AH206" s="492"/>
      <c r="AI206" s="492"/>
      <c r="AJ206" s="492"/>
      <c r="AK206" s="492"/>
      <c r="AL206" s="492"/>
      <c r="AM206" s="492"/>
      <c r="AN206" s="492"/>
      <c r="AO206" s="492"/>
      <c r="AP206" s="492"/>
      <c r="AQ206" s="492"/>
      <c r="AR206" s="492"/>
      <c r="AS206" s="492"/>
      <c r="AT206" s="492"/>
      <c r="AU206" s="492"/>
      <c r="AV206" s="492"/>
      <c r="AW206" s="492"/>
      <c r="AX206" s="492"/>
      <c r="AY206" s="492"/>
      <c r="AZ206" s="492"/>
    </row>
    <row r="207" spans="1:52" x14ac:dyDescent="0.2">
      <c r="A207" s="492"/>
      <c r="B207" s="492"/>
      <c r="C207" s="492"/>
      <c r="D207" s="492"/>
      <c r="E207" s="492"/>
      <c r="F207" s="492"/>
      <c r="G207" s="492"/>
      <c r="H207" s="492"/>
      <c r="I207" s="492"/>
      <c r="J207" s="492"/>
      <c r="K207" s="492"/>
      <c r="L207" s="492"/>
      <c r="M207" s="492"/>
      <c r="N207" s="492"/>
      <c r="O207" s="492"/>
      <c r="P207" s="492"/>
      <c r="Q207" s="492"/>
      <c r="R207" s="492"/>
      <c r="S207" s="492"/>
      <c r="T207" s="492"/>
      <c r="U207" s="492"/>
      <c r="V207" s="492"/>
      <c r="W207" s="492"/>
      <c r="X207" s="492"/>
      <c r="Y207" s="492"/>
      <c r="Z207" s="492"/>
      <c r="AA207" s="492"/>
      <c r="AB207" s="492"/>
      <c r="AC207" s="492"/>
      <c r="AD207" s="492"/>
      <c r="AE207" s="492"/>
      <c r="AF207" s="492"/>
      <c r="AG207" s="492"/>
      <c r="AH207" s="492"/>
      <c r="AI207" s="492"/>
      <c r="AJ207" s="492"/>
      <c r="AK207" s="492"/>
      <c r="AL207" s="492"/>
      <c r="AM207" s="492"/>
      <c r="AN207" s="492"/>
      <c r="AO207" s="492"/>
      <c r="AP207" s="492"/>
      <c r="AQ207" s="492"/>
      <c r="AR207" s="492"/>
      <c r="AS207" s="492"/>
      <c r="AT207" s="492"/>
      <c r="AU207" s="492"/>
      <c r="AV207" s="492"/>
      <c r="AW207" s="492"/>
      <c r="AX207" s="492"/>
      <c r="AY207" s="492"/>
      <c r="AZ207" s="492"/>
    </row>
    <row r="208" spans="1:52" x14ac:dyDescent="0.2">
      <c r="A208" s="492"/>
      <c r="B208" s="492"/>
      <c r="C208" s="492"/>
      <c r="D208" s="492"/>
      <c r="E208" s="492"/>
      <c r="F208" s="492"/>
      <c r="G208" s="492"/>
      <c r="H208" s="492"/>
      <c r="I208" s="492"/>
      <c r="J208" s="492"/>
      <c r="K208" s="492"/>
      <c r="L208" s="492"/>
      <c r="M208" s="492"/>
      <c r="N208" s="492"/>
      <c r="O208" s="492"/>
      <c r="P208" s="492"/>
      <c r="Q208" s="492"/>
      <c r="R208" s="492"/>
      <c r="S208" s="492"/>
      <c r="T208" s="492"/>
      <c r="U208" s="492"/>
      <c r="V208" s="492"/>
      <c r="W208" s="492"/>
      <c r="X208" s="492"/>
      <c r="Y208" s="492"/>
      <c r="Z208" s="492"/>
      <c r="AA208" s="492"/>
      <c r="AB208" s="492"/>
      <c r="AC208" s="492"/>
      <c r="AD208" s="492"/>
      <c r="AE208" s="492"/>
      <c r="AF208" s="492"/>
      <c r="AG208" s="492"/>
      <c r="AH208" s="492"/>
      <c r="AI208" s="492"/>
      <c r="AJ208" s="492"/>
      <c r="AK208" s="492"/>
      <c r="AL208" s="492"/>
      <c r="AM208" s="492"/>
      <c r="AN208" s="492"/>
      <c r="AO208" s="492"/>
      <c r="AP208" s="492"/>
      <c r="AQ208" s="492"/>
      <c r="AR208" s="492"/>
      <c r="AS208" s="492"/>
      <c r="AT208" s="492"/>
      <c r="AU208" s="492"/>
      <c r="AV208" s="492"/>
      <c r="AW208" s="492"/>
      <c r="AX208" s="492"/>
      <c r="AY208" s="492"/>
      <c r="AZ208" s="492"/>
    </row>
    <row r="209" spans="1:52" x14ac:dyDescent="0.2">
      <c r="A209" s="492"/>
      <c r="B209" s="492"/>
      <c r="C209" s="492"/>
      <c r="D209" s="492"/>
      <c r="E209" s="492"/>
      <c r="F209" s="492"/>
      <c r="G209" s="492"/>
      <c r="H209" s="492"/>
      <c r="I209" s="492"/>
      <c r="J209" s="492"/>
      <c r="K209" s="492"/>
      <c r="L209" s="492"/>
      <c r="M209" s="492"/>
      <c r="N209" s="492"/>
      <c r="O209" s="492"/>
      <c r="P209" s="492"/>
      <c r="Q209" s="492"/>
      <c r="R209" s="492"/>
      <c r="S209" s="492"/>
      <c r="T209" s="492"/>
      <c r="U209" s="492"/>
      <c r="V209" s="492"/>
      <c r="W209" s="492"/>
      <c r="X209" s="492"/>
      <c r="Y209" s="492"/>
      <c r="Z209" s="492"/>
      <c r="AA209" s="492"/>
      <c r="AB209" s="492"/>
      <c r="AC209" s="492"/>
      <c r="AD209" s="492"/>
      <c r="AE209" s="492"/>
      <c r="AF209" s="492"/>
      <c r="AG209" s="492"/>
      <c r="AH209" s="492"/>
      <c r="AI209" s="492"/>
      <c r="AJ209" s="492"/>
      <c r="AK209" s="492"/>
      <c r="AL209" s="492"/>
      <c r="AM209" s="492"/>
      <c r="AN209" s="492"/>
      <c r="AO209" s="492"/>
      <c r="AP209" s="492"/>
      <c r="AQ209" s="492"/>
      <c r="AR209" s="492"/>
      <c r="AS209" s="492"/>
      <c r="AT209" s="492"/>
      <c r="AU209" s="492"/>
      <c r="AV209" s="492"/>
      <c r="AW209" s="492"/>
      <c r="AX209" s="492"/>
      <c r="AY209" s="492"/>
      <c r="AZ209" s="492"/>
    </row>
    <row r="210" spans="1:52" x14ac:dyDescent="0.2">
      <c r="A210" s="492"/>
      <c r="B210" s="492"/>
      <c r="C210" s="492"/>
      <c r="D210" s="492"/>
      <c r="E210" s="492"/>
      <c r="F210" s="492"/>
      <c r="G210" s="492"/>
      <c r="H210" s="492"/>
      <c r="I210" s="492"/>
      <c r="J210" s="492"/>
      <c r="K210" s="492"/>
      <c r="L210" s="492"/>
      <c r="M210" s="492"/>
      <c r="N210" s="492"/>
      <c r="O210" s="492"/>
      <c r="P210" s="492"/>
      <c r="Q210" s="492"/>
      <c r="R210" s="492"/>
      <c r="S210" s="492"/>
      <c r="T210" s="492"/>
      <c r="U210" s="492"/>
      <c r="V210" s="492"/>
      <c r="W210" s="492"/>
      <c r="X210" s="492"/>
      <c r="Y210" s="492"/>
      <c r="Z210" s="492"/>
      <c r="AA210" s="492"/>
      <c r="AB210" s="492"/>
      <c r="AC210" s="492"/>
      <c r="AD210" s="492"/>
      <c r="AE210" s="492"/>
      <c r="AF210" s="492"/>
      <c r="AG210" s="492"/>
      <c r="AH210" s="492"/>
      <c r="AI210" s="492"/>
      <c r="AJ210" s="492"/>
      <c r="AK210" s="492"/>
      <c r="AL210" s="492"/>
      <c r="AM210" s="492"/>
      <c r="AN210" s="492"/>
      <c r="AO210" s="492"/>
      <c r="AP210" s="492"/>
      <c r="AQ210" s="492"/>
      <c r="AR210" s="492"/>
      <c r="AS210" s="492"/>
      <c r="AT210" s="492"/>
      <c r="AU210" s="492"/>
      <c r="AV210" s="492"/>
      <c r="AW210" s="492"/>
      <c r="AX210" s="492"/>
      <c r="AY210" s="492"/>
      <c r="AZ210" s="492"/>
    </row>
    <row r="211" spans="1:52" x14ac:dyDescent="0.2">
      <c r="A211" s="492"/>
      <c r="B211" s="492"/>
      <c r="C211" s="492"/>
      <c r="D211" s="492"/>
      <c r="E211" s="492"/>
      <c r="F211" s="492"/>
      <c r="G211" s="492"/>
      <c r="H211" s="492"/>
      <c r="I211" s="492"/>
      <c r="J211" s="492"/>
      <c r="K211" s="492"/>
      <c r="L211" s="492"/>
      <c r="M211" s="492"/>
      <c r="N211" s="492"/>
      <c r="O211" s="492"/>
      <c r="P211" s="492"/>
      <c r="Q211" s="492"/>
      <c r="R211" s="492"/>
      <c r="S211" s="492"/>
      <c r="T211" s="492"/>
      <c r="U211" s="492"/>
      <c r="V211" s="492"/>
      <c r="W211" s="492"/>
      <c r="X211" s="492"/>
      <c r="Y211" s="492"/>
      <c r="Z211" s="492"/>
      <c r="AA211" s="492"/>
      <c r="AB211" s="492"/>
      <c r="AC211" s="492"/>
      <c r="AD211" s="492"/>
      <c r="AE211" s="492"/>
      <c r="AF211" s="492"/>
      <c r="AG211" s="492"/>
      <c r="AH211" s="492"/>
      <c r="AI211" s="492"/>
      <c r="AJ211" s="492"/>
      <c r="AK211" s="492"/>
      <c r="AL211" s="492"/>
      <c r="AM211" s="492"/>
      <c r="AN211" s="492"/>
      <c r="AO211" s="492"/>
      <c r="AP211" s="492"/>
      <c r="AQ211" s="492"/>
      <c r="AR211" s="492"/>
      <c r="AS211" s="492"/>
      <c r="AT211" s="492"/>
      <c r="AU211" s="492"/>
      <c r="AV211" s="492"/>
      <c r="AW211" s="492"/>
      <c r="AX211" s="492"/>
      <c r="AY211" s="492"/>
      <c r="AZ211" s="492"/>
    </row>
    <row r="212" spans="1:52" x14ac:dyDescent="0.2">
      <c r="A212" s="492"/>
      <c r="B212" s="492"/>
      <c r="C212" s="492"/>
      <c r="D212" s="492"/>
      <c r="E212" s="492"/>
      <c r="F212" s="492"/>
      <c r="G212" s="492"/>
      <c r="H212" s="492"/>
      <c r="I212" s="492"/>
      <c r="J212" s="492"/>
      <c r="K212" s="492"/>
      <c r="L212" s="492"/>
      <c r="M212" s="492"/>
      <c r="N212" s="492"/>
      <c r="O212" s="492"/>
      <c r="P212" s="492"/>
      <c r="Q212" s="492"/>
      <c r="R212" s="492"/>
      <c r="S212" s="492"/>
      <c r="T212" s="492"/>
      <c r="U212" s="492"/>
      <c r="V212" s="492"/>
      <c r="W212" s="492"/>
      <c r="X212" s="492"/>
      <c r="Y212" s="492"/>
      <c r="Z212" s="492"/>
      <c r="AA212" s="492"/>
      <c r="AB212" s="492"/>
      <c r="AC212" s="492"/>
      <c r="AD212" s="492"/>
      <c r="AE212" s="492"/>
      <c r="AF212" s="492"/>
      <c r="AG212" s="492"/>
      <c r="AH212" s="492"/>
      <c r="AI212" s="492"/>
      <c r="AJ212" s="492"/>
      <c r="AK212" s="492"/>
      <c r="AL212" s="492"/>
      <c r="AM212" s="492"/>
      <c r="AN212" s="492"/>
      <c r="AO212" s="492"/>
      <c r="AP212" s="492"/>
      <c r="AQ212" s="492"/>
      <c r="AR212" s="492"/>
      <c r="AS212" s="492"/>
      <c r="AT212" s="492"/>
      <c r="AU212" s="492"/>
      <c r="AV212" s="492"/>
      <c r="AW212" s="492"/>
      <c r="AX212" s="492"/>
      <c r="AY212" s="492"/>
      <c r="AZ212" s="492"/>
    </row>
    <row r="213" spans="1:52" x14ac:dyDescent="0.2">
      <c r="A213" s="492"/>
      <c r="B213" s="492"/>
      <c r="C213" s="492"/>
      <c r="D213" s="492"/>
      <c r="E213" s="492"/>
      <c r="F213" s="492"/>
      <c r="G213" s="492"/>
      <c r="H213" s="492"/>
      <c r="I213" s="492"/>
      <c r="J213" s="492"/>
      <c r="K213" s="492"/>
      <c r="L213" s="492"/>
      <c r="M213" s="492"/>
      <c r="N213" s="492"/>
      <c r="O213" s="492"/>
      <c r="P213" s="492"/>
      <c r="Q213" s="492"/>
      <c r="R213" s="492"/>
      <c r="S213" s="492"/>
      <c r="T213" s="492"/>
      <c r="U213" s="492"/>
      <c r="V213" s="492"/>
      <c r="W213" s="492"/>
      <c r="X213" s="492"/>
      <c r="Y213" s="492"/>
      <c r="Z213" s="492"/>
      <c r="AA213" s="492"/>
      <c r="AB213" s="492"/>
      <c r="AC213" s="492"/>
      <c r="AD213" s="492"/>
      <c r="AE213" s="492"/>
      <c r="AF213" s="492"/>
      <c r="AG213" s="492"/>
      <c r="AH213" s="492"/>
      <c r="AI213" s="492"/>
      <c r="AJ213" s="492"/>
      <c r="AK213" s="492"/>
      <c r="AL213" s="492"/>
      <c r="AM213" s="492"/>
      <c r="AN213" s="492"/>
      <c r="AO213" s="492"/>
      <c r="AP213" s="492"/>
      <c r="AQ213" s="492"/>
      <c r="AR213" s="492"/>
      <c r="AS213" s="492"/>
      <c r="AT213" s="492"/>
      <c r="AU213" s="492"/>
      <c r="AV213" s="492"/>
      <c r="AW213" s="492"/>
      <c r="AX213" s="492"/>
      <c r="AY213" s="492"/>
      <c r="AZ213" s="492"/>
    </row>
    <row r="214" spans="1:52" x14ac:dyDescent="0.2">
      <c r="A214" s="492"/>
      <c r="B214" s="492"/>
      <c r="C214" s="492"/>
      <c r="D214" s="492"/>
      <c r="E214" s="492"/>
      <c r="F214" s="492"/>
      <c r="G214" s="492"/>
      <c r="H214" s="492"/>
      <c r="I214" s="492"/>
      <c r="J214" s="492"/>
      <c r="K214" s="492"/>
      <c r="L214" s="492"/>
      <c r="M214" s="492"/>
      <c r="N214" s="492"/>
      <c r="O214" s="492"/>
      <c r="P214" s="492"/>
      <c r="Q214" s="492"/>
      <c r="R214" s="492"/>
      <c r="S214" s="492"/>
      <c r="T214" s="492"/>
      <c r="U214" s="492"/>
      <c r="V214" s="492"/>
      <c r="W214" s="492"/>
      <c r="X214" s="492"/>
      <c r="Y214" s="492"/>
      <c r="Z214" s="492"/>
      <c r="AA214" s="492"/>
      <c r="AB214" s="492"/>
      <c r="AC214" s="492"/>
      <c r="AD214" s="492"/>
      <c r="AE214" s="492"/>
      <c r="AF214" s="492"/>
      <c r="AG214" s="492"/>
      <c r="AH214" s="492"/>
      <c r="AI214" s="492"/>
      <c r="AJ214" s="492"/>
      <c r="AK214" s="492"/>
      <c r="AL214" s="492"/>
      <c r="AM214" s="492"/>
      <c r="AN214" s="492"/>
      <c r="AO214" s="492"/>
      <c r="AP214" s="492"/>
      <c r="AQ214" s="492"/>
      <c r="AR214" s="492"/>
      <c r="AS214" s="492"/>
      <c r="AT214" s="492"/>
      <c r="AU214" s="492"/>
      <c r="AV214" s="492"/>
      <c r="AW214" s="492"/>
      <c r="AX214" s="492"/>
      <c r="AY214" s="492"/>
      <c r="AZ214" s="492"/>
    </row>
    <row r="215" spans="1:52" x14ac:dyDescent="0.2">
      <c r="A215" s="492"/>
      <c r="B215" s="492"/>
      <c r="C215" s="492"/>
      <c r="D215" s="492"/>
      <c r="E215" s="492"/>
      <c r="F215" s="492"/>
      <c r="G215" s="492"/>
      <c r="H215" s="492"/>
      <c r="I215" s="492"/>
      <c r="J215" s="492"/>
      <c r="K215" s="492"/>
      <c r="L215" s="492"/>
      <c r="M215" s="492"/>
      <c r="N215" s="492"/>
      <c r="O215" s="492"/>
      <c r="P215" s="492"/>
      <c r="Q215" s="492"/>
      <c r="R215" s="492"/>
      <c r="S215" s="492"/>
      <c r="T215" s="492"/>
      <c r="U215" s="492"/>
      <c r="V215" s="492"/>
      <c r="W215" s="492"/>
      <c r="X215" s="492"/>
      <c r="Y215" s="492"/>
      <c r="Z215" s="492"/>
      <c r="AA215" s="492"/>
      <c r="AB215" s="492"/>
      <c r="AC215" s="492"/>
      <c r="AD215" s="492"/>
      <c r="AE215" s="492"/>
      <c r="AF215" s="492"/>
      <c r="AG215" s="492"/>
      <c r="AH215" s="492"/>
      <c r="AI215" s="492"/>
      <c r="AJ215" s="492"/>
      <c r="AK215" s="492"/>
      <c r="AL215" s="492"/>
      <c r="AM215" s="492"/>
      <c r="AN215" s="492"/>
      <c r="AO215" s="492"/>
      <c r="AP215" s="492"/>
      <c r="AQ215" s="492"/>
      <c r="AR215" s="492"/>
      <c r="AS215" s="492"/>
      <c r="AT215" s="492"/>
      <c r="AU215" s="492"/>
      <c r="AV215" s="492"/>
      <c r="AW215" s="492"/>
      <c r="AX215" s="492"/>
      <c r="AY215" s="492"/>
      <c r="AZ215" s="492"/>
    </row>
    <row r="216" spans="1:52" x14ac:dyDescent="0.2">
      <c r="A216" s="492"/>
      <c r="B216" s="492"/>
      <c r="C216" s="492"/>
      <c r="D216" s="492"/>
      <c r="E216" s="492"/>
      <c r="F216" s="492"/>
      <c r="G216" s="492"/>
      <c r="H216" s="492"/>
      <c r="I216" s="492"/>
      <c r="J216" s="492"/>
      <c r="K216" s="492"/>
      <c r="L216" s="492"/>
      <c r="M216" s="492"/>
      <c r="N216" s="492"/>
      <c r="O216" s="492"/>
      <c r="P216" s="492"/>
      <c r="Q216" s="492"/>
      <c r="R216" s="492"/>
      <c r="S216" s="492"/>
      <c r="T216" s="492"/>
      <c r="U216" s="492"/>
      <c r="V216" s="492"/>
      <c r="W216" s="492"/>
      <c r="X216" s="492"/>
      <c r="Y216" s="492"/>
      <c r="Z216" s="492"/>
      <c r="AA216" s="492"/>
      <c r="AB216" s="492"/>
      <c r="AC216" s="492"/>
      <c r="AD216" s="492"/>
      <c r="AE216" s="492"/>
      <c r="AF216" s="492"/>
      <c r="AG216" s="492"/>
      <c r="AH216" s="492"/>
      <c r="AI216" s="492"/>
      <c r="AJ216" s="492"/>
      <c r="AK216" s="492"/>
      <c r="AL216" s="492"/>
      <c r="AM216" s="492"/>
      <c r="AN216" s="492"/>
      <c r="AO216" s="492"/>
      <c r="AP216" s="492"/>
      <c r="AQ216" s="492"/>
      <c r="AR216" s="492"/>
      <c r="AS216" s="492"/>
      <c r="AT216" s="492"/>
      <c r="AU216" s="492"/>
      <c r="AV216" s="492"/>
      <c r="AW216" s="492"/>
      <c r="AX216" s="492"/>
      <c r="AY216" s="492"/>
      <c r="AZ216" s="492"/>
    </row>
    <row r="217" spans="1:52" x14ac:dyDescent="0.2">
      <c r="A217" s="492"/>
      <c r="B217" s="492"/>
      <c r="C217" s="492"/>
      <c r="D217" s="492"/>
      <c r="E217" s="492"/>
      <c r="F217" s="492"/>
      <c r="G217" s="492"/>
      <c r="H217" s="492"/>
      <c r="I217" s="492"/>
      <c r="J217" s="492"/>
      <c r="K217" s="492"/>
      <c r="L217" s="492"/>
      <c r="M217" s="492"/>
      <c r="N217" s="492"/>
      <c r="O217" s="492"/>
      <c r="P217" s="492"/>
      <c r="Q217" s="492"/>
      <c r="R217" s="492"/>
      <c r="S217" s="492"/>
      <c r="T217" s="492"/>
      <c r="U217" s="492"/>
      <c r="V217" s="492"/>
      <c r="W217" s="492"/>
      <c r="X217" s="492"/>
      <c r="Y217" s="492"/>
      <c r="Z217" s="492"/>
      <c r="AA217" s="492"/>
      <c r="AB217" s="492"/>
      <c r="AC217" s="492"/>
      <c r="AD217" s="492"/>
      <c r="AE217" s="492"/>
      <c r="AF217" s="492"/>
      <c r="AG217" s="492"/>
      <c r="AH217" s="492"/>
      <c r="AI217" s="492"/>
      <c r="AJ217" s="492"/>
      <c r="AK217" s="492"/>
      <c r="AL217" s="492"/>
      <c r="AM217" s="492"/>
      <c r="AN217" s="492"/>
      <c r="AO217" s="492"/>
      <c r="AP217" s="492"/>
      <c r="AQ217" s="492"/>
      <c r="AR217" s="492"/>
      <c r="AS217" s="492"/>
      <c r="AT217" s="492"/>
      <c r="AU217" s="492"/>
      <c r="AV217" s="492"/>
      <c r="AW217" s="492"/>
      <c r="AX217" s="492"/>
      <c r="AY217" s="492"/>
      <c r="AZ217" s="492"/>
    </row>
    <row r="218" spans="1:52" x14ac:dyDescent="0.2">
      <c r="A218" s="492"/>
      <c r="B218" s="492"/>
      <c r="C218" s="492"/>
      <c r="D218" s="492"/>
      <c r="E218" s="492"/>
      <c r="F218" s="492"/>
      <c r="G218" s="492"/>
      <c r="H218" s="492"/>
      <c r="I218" s="492"/>
      <c r="J218" s="492"/>
      <c r="K218" s="492"/>
      <c r="L218" s="492"/>
      <c r="M218" s="492"/>
      <c r="N218" s="492"/>
      <c r="O218" s="492"/>
      <c r="P218" s="492"/>
      <c r="Q218" s="492"/>
      <c r="R218" s="492"/>
      <c r="S218" s="492"/>
      <c r="T218" s="492"/>
      <c r="U218" s="492"/>
      <c r="V218" s="492"/>
      <c r="W218" s="492"/>
      <c r="X218" s="492"/>
      <c r="Y218" s="492"/>
      <c r="Z218" s="492"/>
      <c r="AA218" s="492"/>
      <c r="AB218" s="492"/>
      <c r="AC218" s="492"/>
      <c r="AD218" s="492"/>
      <c r="AE218" s="492"/>
      <c r="AF218" s="492"/>
      <c r="AG218" s="492"/>
      <c r="AH218" s="492"/>
      <c r="AI218" s="492"/>
      <c r="AJ218" s="492"/>
      <c r="AK218" s="492"/>
      <c r="AL218" s="492"/>
      <c r="AM218" s="492"/>
      <c r="AN218" s="492"/>
      <c r="AO218" s="492"/>
      <c r="AP218" s="492"/>
      <c r="AQ218" s="492"/>
      <c r="AR218" s="492"/>
      <c r="AS218" s="492"/>
      <c r="AT218" s="492"/>
      <c r="AU218" s="492"/>
      <c r="AV218" s="492"/>
      <c r="AW218" s="492"/>
      <c r="AX218" s="492"/>
      <c r="AY218" s="492"/>
      <c r="AZ218" s="492"/>
    </row>
    <row r="219" spans="1:52" x14ac:dyDescent="0.2">
      <c r="A219" s="492"/>
      <c r="B219" s="492"/>
      <c r="C219" s="492"/>
      <c r="D219" s="492"/>
      <c r="E219" s="492"/>
      <c r="F219" s="492"/>
      <c r="G219" s="492"/>
      <c r="H219" s="492"/>
      <c r="I219" s="492"/>
      <c r="J219" s="492"/>
      <c r="K219" s="492"/>
      <c r="L219" s="492"/>
      <c r="M219" s="492"/>
      <c r="N219" s="492"/>
      <c r="O219" s="492"/>
      <c r="P219" s="492"/>
      <c r="Q219" s="492"/>
      <c r="R219" s="492"/>
      <c r="S219" s="492"/>
      <c r="T219" s="492"/>
      <c r="U219" s="492"/>
      <c r="V219" s="492"/>
      <c r="W219" s="492"/>
      <c r="X219" s="492"/>
      <c r="Y219" s="492"/>
      <c r="Z219" s="492"/>
      <c r="AA219" s="492"/>
      <c r="AB219" s="492"/>
      <c r="AC219" s="492"/>
      <c r="AD219" s="492"/>
      <c r="AE219" s="492"/>
      <c r="AF219" s="492"/>
      <c r="AG219" s="492"/>
      <c r="AH219" s="492"/>
      <c r="AI219" s="492"/>
      <c r="AJ219" s="492"/>
      <c r="AK219" s="492"/>
      <c r="AL219" s="492"/>
      <c r="AM219" s="492"/>
      <c r="AN219" s="492"/>
      <c r="AO219" s="492"/>
      <c r="AP219" s="492"/>
      <c r="AQ219" s="492"/>
      <c r="AR219" s="492"/>
      <c r="AS219" s="492"/>
      <c r="AT219" s="492"/>
      <c r="AU219" s="492"/>
      <c r="AV219" s="492"/>
      <c r="AW219" s="492"/>
      <c r="AX219" s="492"/>
      <c r="AY219" s="492"/>
      <c r="AZ219" s="492"/>
    </row>
    <row r="220" spans="1:52" x14ac:dyDescent="0.2">
      <c r="A220" s="492"/>
      <c r="B220" s="492"/>
      <c r="C220" s="492"/>
      <c r="D220" s="492"/>
      <c r="E220" s="492"/>
      <c r="F220" s="492"/>
      <c r="G220" s="492"/>
      <c r="H220" s="492"/>
      <c r="I220" s="492"/>
      <c r="J220" s="492"/>
      <c r="K220" s="492"/>
      <c r="L220" s="492"/>
      <c r="M220" s="492"/>
      <c r="N220" s="492"/>
      <c r="O220" s="492"/>
      <c r="P220" s="492"/>
      <c r="Q220" s="492"/>
      <c r="R220" s="492"/>
      <c r="S220" s="492"/>
      <c r="T220" s="492"/>
      <c r="U220" s="492"/>
      <c r="V220" s="492"/>
      <c r="W220" s="492"/>
      <c r="X220" s="492"/>
      <c r="Y220" s="492"/>
      <c r="Z220" s="492"/>
      <c r="AA220" s="492"/>
      <c r="AB220" s="492"/>
      <c r="AC220" s="492"/>
      <c r="AD220" s="492"/>
      <c r="AE220" s="492"/>
      <c r="AF220" s="492"/>
      <c r="AG220" s="492"/>
      <c r="AH220" s="492"/>
      <c r="AI220" s="492"/>
      <c r="AJ220" s="492"/>
      <c r="AK220" s="492"/>
      <c r="AL220" s="492"/>
      <c r="AM220" s="492"/>
      <c r="AN220" s="492"/>
      <c r="AO220" s="492"/>
      <c r="AP220" s="492"/>
      <c r="AQ220" s="492"/>
      <c r="AR220" s="492"/>
      <c r="AS220" s="492"/>
      <c r="AT220" s="492"/>
      <c r="AU220" s="492"/>
      <c r="AV220" s="492"/>
      <c r="AW220" s="492"/>
      <c r="AX220" s="492"/>
      <c r="AY220" s="492"/>
      <c r="AZ220" s="492"/>
    </row>
    <row r="221" spans="1:52" x14ac:dyDescent="0.2">
      <c r="A221" s="492"/>
      <c r="B221" s="492"/>
      <c r="C221" s="492"/>
      <c r="D221" s="492"/>
      <c r="E221" s="492"/>
      <c r="F221" s="492"/>
      <c r="G221" s="492"/>
      <c r="H221" s="492"/>
      <c r="I221" s="492"/>
      <c r="J221" s="492"/>
      <c r="K221" s="492"/>
      <c r="L221" s="492"/>
      <c r="M221" s="492"/>
      <c r="N221" s="492"/>
      <c r="O221" s="492"/>
      <c r="P221" s="492"/>
      <c r="Q221" s="492"/>
      <c r="R221" s="492"/>
      <c r="S221" s="492"/>
      <c r="T221" s="492"/>
      <c r="U221" s="492"/>
      <c r="V221" s="492"/>
      <c r="W221" s="492"/>
      <c r="X221" s="492"/>
      <c r="Y221" s="492"/>
      <c r="Z221" s="492"/>
      <c r="AA221" s="492"/>
      <c r="AB221" s="492"/>
      <c r="AC221" s="492"/>
      <c r="AD221" s="492"/>
      <c r="AE221" s="492"/>
      <c r="AF221" s="492"/>
      <c r="AG221" s="492"/>
      <c r="AH221" s="492"/>
      <c r="AI221" s="492"/>
      <c r="AJ221" s="492"/>
      <c r="AK221" s="492"/>
      <c r="AL221" s="492"/>
      <c r="AM221" s="492"/>
      <c r="AN221" s="492"/>
      <c r="AO221" s="492"/>
      <c r="AP221" s="492"/>
      <c r="AQ221" s="492"/>
      <c r="AR221" s="492"/>
      <c r="AS221" s="492"/>
      <c r="AT221" s="492"/>
      <c r="AU221" s="492"/>
      <c r="AV221" s="492"/>
      <c r="AW221" s="492"/>
      <c r="AX221" s="492"/>
      <c r="AY221" s="492"/>
      <c r="AZ221" s="492"/>
    </row>
    <row r="222" spans="1:52" x14ac:dyDescent="0.2">
      <c r="A222" s="492"/>
      <c r="B222" s="492"/>
      <c r="C222" s="492"/>
      <c r="D222" s="492"/>
      <c r="E222" s="492"/>
      <c r="F222" s="492"/>
      <c r="G222" s="492"/>
      <c r="H222" s="492"/>
      <c r="I222" s="492"/>
      <c r="J222" s="492"/>
      <c r="K222" s="492"/>
      <c r="L222" s="492"/>
      <c r="M222" s="492"/>
      <c r="N222" s="492"/>
      <c r="O222" s="492"/>
      <c r="P222" s="492"/>
      <c r="Q222" s="492"/>
      <c r="R222" s="492"/>
      <c r="S222" s="492"/>
      <c r="T222" s="492"/>
      <c r="U222" s="492"/>
      <c r="V222" s="492"/>
      <c r="W222" s="492"/>
      <c r="X222" s="492"/>
      <c r="Y222" s="492"/>
      <c r="Z222" s="492"/>
      <c r="AA222" s="492"/>
      <c r="AB222" s="492"/>
      <c r="AC222" s="492"/>
      <c r="AD222" s="492"/>
      <c r="AE222" s="492"/>
      <c r="AF222" s="492"/>
      <c r="AG222" s="492"/>
      <c r="AH222" s="492"/>
      <c r="AI222" s="492"/>
      <c r="AJ222" s="492"/>
      <c r="AK222" s="492"/>
      <c r="AL222" s="492"/>
      <c r="AM222" s="492"/>
      <c r="AN222" s="492"/>
      <c r="AO222" s="492"/>
      <c r="AP222" s="492"/>
      <c r="AQ222" s="492"/>
      <c r="AR222" s="492"/>
      <c r="AS222" s="492"/>
      <c r="AT222" s="492"/>
      <c r="AU222" s="492"/>
      <c r="AV222" s="492"/>
      <c r="AW222" s="492"/>
      <c r="AX222" s="492"/>
      <c r="AY222" s="492"/>
      <c r="AZ222" s="492"/>
    </row>
    <row r="223" spans="1:52" x14ac:dyDescent="0.2">
      <c r="A223" s="492"/>
      <c r="B223" s="492"/>
      <c r="C223" s="492"/>
      <c r="D223" s="492"/>
      <c r="E223" s="492"/>
      <c r="F223" s="492"/>
      <c r="G223" s="492"/>
      <c r="H223" s="492"/>
      <c r="I223" s="492"/>
      <c r="J223" s="492"/>
      <c r="K223" s="492"/>
      <c r="L223" s="492"/>
      <c r="M223" s="492"/>
      <c r="N223" s="492"/>
      <c r="O223" s="492"/>
      <c r="P223" s="492"/>
      <c r="Q223" s="492"/>
      <c r="R223" s="492"/>
      <c r="S223" s="492"/>
      <c r="T223" s="492"/>
      <c r="U223" s="492"/>
      <c r="V223" s="492"/>
      <c r="W223" s="492"/>
      <c r="X223" s="492"/>
      <c r="Y223" s="492"/>
      <c r="Z223" s="492"/>
      <c r="AA223" s="492"/>
      <c r="AB223" s="492"/>
      <c r="AC223" s="492"/>
      <c r="AD223" s="492"/>
      <c r="AE223" s="492"/>
      <c r="AF223" s="492"/>
      <c r="AG223" s="492"/>
      <c r="AH223" s="492"/>
      <c r="AI223" s="492"/>
      <c r="AJ223" s="492"/>
      <c r="AK223" s="492"/>
      <c r="AL223" s="492"/>
      <c r="AM223" s="492"/>
      <c r="AN223" s="492"/>
      <c r="AO223" s="492"/>
      <c r="AP223" s="492"/>
      <c r="AQ223" s="492"/>
      <c r="AR223" s="492"/>
      <c r="AS223" s="492"/>
      <c r="AT223" s="492"/>
      <c r="AU223" s="492"/>
      <c r="AV223" s="492"/>
      <c r="AW223" s="492"/>
      <c r="AX223" s="492"/>
      <c r="AY223" s="492"/>
      <c r="AZ223" s="492"/>
    </row>
    <row r="224" spans="1:52" x14ac:dyDescent="0.2">
      <c r="A224" s="492"/>
      <c r="B224" s="492"/>
      <c r="C224" s="492"/>
      <c r="D224" s="492"/>
      <c r="E224" s="492"/>
      <c r="F224" s="492"/>
      <c r="G224" s="492"/>
      <c r="H224" s="492"/>
      <c r="I224" s="492"/>
      <c r="J224" s="492"/>
      <c r="K224" s="492"/>
      <c r="L224" s="492"/>
      <c r="M224" s="492"/>
      <c r="N224" s="492"/>
      <c r="O224" s="492"/>
      <c r="P224" s="492"/>
      <c r="Q224" s="492"/>
      <c r="R224" s="492"/>
      <c r="S224" s="492"/>
      <c r="T224" s="492"/>
      <c r="U224" s="492"/>
      <c r="V224" s="492"/>
      <c r="W224" s="492"/>
      <c r="X224" s="492"/>
      <c r="Y224" s="492"/>
      <c r="Z224" s="492"/>
      <c r="AA224" s="492"/>
      <c r="AB224" s="492"/>
      <c r="AC224" s="492"/>
      <c r="AD224" s="492"/>
      <c r="AE224" s="492"/>
      <c r="AF224" s="492"/>
      <c r="AG224" s="492"/>
      <c r="AH224" s="492"/>
      <c r="AI224" s="492"/>
      <c r="AJ224" s="492"/>
      <c r="AK224" s="492"/>
      <c r="AL224" s="492"/>
      <c r="AM224" s="492"/>
      <c r="AN224" s="492"/>
      <c r="AO224" s="492"/>
      <c r="AP224" s="492"/>
      <c r="AQ224" s="492"/>
      <c r="AR224" s="492"/>
      <c r="AS224" s="492"/>
      <c r="AT224" s="492"/>
      <c r="AU224" s="492"/>
      <c r="AV224" s="492"/>
      <c r="AW224" s="492"/>
      <c r="AX224" s="492"/>
      <c r="AY224" s="492"/>
      <c r="AZ224" s="492"/>
    </row>
    <row r="225" spans="1:52" x14ac:dyDescent="0.2">
      <c r="A225" s="492"/>
      <c r="B225" s="492"/>
      <c r="C225" s="492"/>
      <c r="D225" s="492"/>
      <c r="E225" s="492"/>
      <c r="F225" s="492"/>
      <c r="G225" s="492"/>
      <c r="H225" s="492"/>
      <c r="I225" s="492"/>
      <c r="J225" s="492"/>
      <c r="K225" s="492"/>
      <c r="L225" s="492"/>
      <c r="M225" s="492"/>
      <c r="N225" s="492"/>
      <c r="O225" s="492"/>
      <c r="P225" s="492"/>
      <c r="Q225" s="492"/>
      <c r="R225" s="492"/>
      <c r="S225" s="492"/>
      <c r="T225" s="492"/>
      <c r="U225" s="492"/>
      <c r="V225" s="492"/>
      <c r="W225" s="492"/>
      <c r="X225" s="492"/>
      <c r="Y225" s="492"/>
      <c r="Z225" s="492"/>
      <c r="AA225" s="492"/>
      <c r="AB225" s="492"/>
      <c r="AC225" s="492"/>
      <c r="AD225" s="492"/>
      <c r="AE225" s="492"/>
      <c r="AF225" s="492"/>
      <c r="AG225" s="492"/>
      <c r="AH225" s="492"/>
      <c r="AI225" s="492"/>
      <c r="AJ225" s="492"/>
      <c r="AK225" s="492"/>
      <c r="AL225" s="492"/>
      <c r="AM225" s="492"/>
      <c r="AN225" s="492"/>
      <c r="AO225" s="492"/>
      <c r="AP225" s="492"/>
      <c r="AQ225" s="492"/>
      <c r="AR225" s="492"/>
      <c r="AS225" s="492"/>
      <c r="AT225" s="492"/>
      <c r="AU225" s="492"/>
      <c r="AV225" s="492"/>
      <c r="AW225" s="492"/>
      <c r="AX225" s="492"/>
      <c r="AY225" s="492"/>
      <c r="AZ225" s="492"/>
    </row>
    <row r="226" spans="1:52" x14ac:dyDescent="0.2">
      <c r="A226" s="492"/>
      <c r="B226" s="492"/>
      <c r="C226" s="492"/>
      <c r="D226" s="492"/>
      <c r="E226" s="492"/>
      <c r="F226" s="492"/>
      <c r="G226" s="492"/>
      <c r="H226" s="492"/>
      <c r="I226" s="492"/>
      <c r="J226" s="492"/>
      <c r="K226" s="492"/>
      <c r="L226" s="492"/>
      <c r="M226" s="492"/>
      <c r="N226" s="492"/>
      <c r="O226" s="492"/>
      <c r="P226" s="492"/>
      <c r="Q226" s="492"/>
      <c r="R226" s="492"/>
      <c r="S226" s="492"/>
      <c r="T226" s="492"/>
      <c r="U226" s="492"/>
      <c r="V226" s="492"/>
      <c r="W226" s="492"/>
      <c r="X226" s="492"/>
      <c r="Y226" s="492"/>
      <c r="Z226" s="492"/>
      <c r="AA226" s="492"/>
      <c r="AB226" s="492"/>
      <c r="AC226" s="492"/>
      <c r="AD226" s="492"/>
      <c r="AE226" s="492"/>
      <c r="AF226" s="492"/>
      <c r="AG226" s="492"/>
      <c r="AH226" s="492"/>
      <c r="AI226" s="492"/>
      <c r="AJ226" s="492"/>
      <c r="AK226" s="492"/>
      <c r="AL226" s="492"/>
      <c r="AM226" s="492"/>
      <c r="AN226" s="492"/>
      <c r="AO226" s="492"/>
      <c r="AP226" s="492"/>
      <c r="AQ226" s="492"/>
      <c r="AR226" s="492"/>
      <c r="AS226" s="492"/>
      <c r="AT226" s="492"/>
      <c r="AU226" s="492"/>
      <c r="AV226" s="492"/>
      <c r="AW226" s="492"/>
      <c r="AX226" s="492"/>
      <c r="AY226" s="492"/>
      <c r="AZ226" s="492"/>
    </row>
    <row r="227" spans="1:52" x14ac:dyDescent="0.2">
      <c r="A227" s="492"/>
      <c r="B227" s="492"/>
      <c r="C227" s="492"/>
      <c r="D227" s="492"/>
      <c r="E227" s="492"/>
      <c r="F227" s="492"/>
      <c r="G227" s="492"/>
      <c r="H227" s="492"/>
      <c r="I227" s="492"/>
      <c r="J227" s="492"/>
      <c r="K227" s="492"/>
      <c r="L227" s="492"/>
      <c r="M227" s="492"/>
      <c r="N227" s="492"/>
      <c r="O227" s="492"/>
      <c r="P227" s="492"/>
      <c r="Q227" s="492"/>
      <c r="R227" s="492"/>
      <c r="S227" s="492"/>
      <c r="T227" s="492"/>
      <c r="U227" s="492"/>
      <c r="V227" s="492"/>
      <c r="W227" s="492"/>
      <c r="X227" s="492"/>
      <c r="Y227" s="492"/>
      <c r="Z227" s="492"/>
      <c r="AA227" s="492"/>
      <c r="AB227" s="492"/>
      <c r="AC227" s="492"/>
      <c r="AD227" s="492"/>
      <c r="AE227" s="492"/>
      <c r="AF227" s="492"/>
      <c r="AG227" s="492"/>
      <c r="AH227" s="492"/>
      <c r="AI227" s="492"/>
      <c r="AJ227" s="492"/>
      <c r="AK227" s="492"/>
      <c r="AL227" s="492"/>
      <c r="AM227" s="492"/>
      <c r="AN227" s="492"/>
      <c r="AO227" s="492"/>
      <c r="AP227" s="492"/>
      <c r="AQ227" s="492"/>
      <c r="AR227" s="492"/>
      <c r="AS227" s="492"/>
      <c r="AT227" s="492"/>
      <c r="AU227" s="492"/>
      <c r="AV227" s="492"/>
      <c r="AW227" s="492"/>
      <c r="AX227" s="492"/>
      <c r="AY227" s="492"/>
      <c r="AZ227" s="492"/>
    </row>
    <row r="228" spans="1:52" x14ac:dyDescent="0.2">
      <c r="A228" s="492"/>
      <c r="B228" s="492"/>
      <c r="C228" s="492"/>
      <c r="D228" s="492"/>
      <c r="E228" s="492"/>
      <c r="F228" s="492"/>
      <c r="G228" s="492"/>
      <c r="H228" s="492"/>
      <c r="I228" s="492"/>
      <c r="J228" s="492"/>
      <c r="K228" s="492"/>
      <c r="L228" s="492"/>
      <c r="M228" s="492"/>
      <c r="N228" s="492"/>
      <c r="O228" s="492"/>
      <c r="P228" s="492"/>
      <c r="Q228" s="492"/>
      <c r="R228" s="492"/>
      <c r="S228" s="492"/>
      <c r="T228" s="492"/>
      <c r="U228" s="492"/>
      <c r="V228" s="492"/>
      <c r="W228" s="492"/>
      <c r="X228" s="492"/>
      <c r="Y228" s="492"/>
      <c r="Z228" s="492"/>
      <c r="AA228" s="492"/>
      <c r="AB228" s="492"/>
      <c r="AC228" s="492"/>
      <c r="AD228" s="492"/>
      <c r="AE228" s="492"/>
      <c r="AF228" s="492"/>
      <c r="AG228" s="492"/>
      <c r="AH228" s="492"/>
      <c r="AI228" s="492"/>
      <c r="AJ228" s="492"/>
      <c r="AK228" s="492"/>
      <c r="AL228" s="492"/>
      <c r="AM228" s="492"/>
      <c r="AN228" s="492"/>
      <c r="AO228" s="492"/>
      <c r="AP228" s="492"/>
      <c r="AQ228" s="492"/>
      <c r="AR228" s="492"/>
      <c r="AS228" s="492"/>
      <c r="AT228" s="492"/>
      <c r="AU228" s="492"/>
      <c r="AV228" s="492"/>
      <c r="AW228" s="492"/>
      <c r="AX228" s="492"/>
      <c r="AY228" s="492"/>
      <c r="AZ228" s="492"/>
    </row>
    <row r="229" spans="1:52" x14ac:dyDescent="0.2">
      <c r="A229" s="492"/>
      <c r="B229" s="492"/>
      <c r="C229" s="492"/>
      <c r="D229" s="492"/>
      <c r="E229" s="492"/>
      <c r="F229" s="492"/>
      <c r="G229" s="492"/>
      <c r="H229" s="492"/>
      <c r="I229" s="492"/>
      <c r="J229" s="492"/>
      <c r="K229" s="492"/>
      <c r="L229" s="492"/>
      <c r="M229" s="492"/>
      <c r="N229" s="492"/>
      <c r="O229" s="492"/>
      <c r="P229" s="492"/>
      <c r="Q229" s="492"/>
      <c r="R229" s="492"/>
      <c r="S229" s="492"/>
      <c r="T229" s="492"/>
      <c r="U229" s="492"/>
      <c r="V229" s="492"/>
      <c r="W229" s="492"/>
      <c r="X229" s="492"/>
      <c r="Y229" s="492"/>
      <c r="Z229" s="492"/>
      <c r="AA229" s="492"/>
      <c r="AB229" s="492"/>
      <c r="AC229" s="492"/>
      <c r="AD229" s="492"/>
      <c r="AE229" s="492"/>
      <c r="AF229" s="492"/>
      <c r="AG229" s="492"/>
      <c r="AH229" s="492"/>
      <c r="AI229" s="492"/>
      <c r="AJ229" s="492"/>
      <c r="AK229" s="492"/>
      <c r="AL229" s="492"/>
      <c r="AM229" s="492"/>
      <c r="AN229" s="492"/>
      <c r="AO229" s="492"/>
      <c r="AP229" s="492"/>
      <c r="AQ229" s="492"/>
      <c r="AR229" s="492"/>
      <c r="AS229" s="492"/>
      <c r="AT229" s="492"/>
      <c r="AU229" s="492"/>
      <c r="AV229" s="492"/>
      <c r="AW229" s="492"/>
      <c r="AX229" s="492"/>
      <c r="AY229" s="492"/>
      <c r="AZ229" s="492"/>
    </row>
    <row r="230" spans="1:52" x14ac:dyDescent="0.2">
      <c r="A230" s="492"/>
      <c r="B230" s="492"/>
      <c r="C230" s="492"/>
      <c r="D230" s="492"/>
      <c r="E230" s="492"/>
      <c r="F230" s="492"/>
      <c r="G230" s="492"/>
      <c r="H230" s="492"/>
      <c r="I230" s="492"/>
      <c r="J230" s="492"/>
      <c r="K230" s="492"/>
      <c r="L230" s="492"/>
      <c r="M230" s="492"/>
      <c r="N230" s="492"/>
      <c r="O230" s="492"/>
      <c r="P230" s="492"/>
      <c r="Q230" s="492"/>
      <c r="R230" s="492"/>
      <c r="S230" s="492"/>
      <c r="T230" s="492"/>
      <c r="U230" s="492"/>
      <c r="V230" s="492"/>
      <c r="W230" s="492"/>
      <c r="X230" s="492"/>
      <c r="Y230" s="492"/>
      <c r="Z230" s="492"/>
      <c r="AA230" s="492"/>
      <c r="AB230" s="492"/>
      <c r="AC230" s="492"/>
      <c r="AD230" s="492"/>
      <c r="AE230" s="492"/>
      <c r="AF230" s="492"/>
      <c r="AG230" s="492"/>
      <c r="AH230" s="492"/>
      <c r="AI230" s="492"/>
      <c r="AJ230" s="492"/>
      <c r="AK230" s="492"/>
      <c r="AL230" s="492"/>
      <c r="AM230" s="492"/>
      <c r="AN230" s="492"/>
      <c r="AO230" s="492"/>
      <c r="AP230" s="492"/>
      <c r="AQ230" s="492"/>
      <c r="AR230" s="492"/>
      <c r="AS230" s="492"/>
      <c r="AT230" s="492"/>
      <c r="AU230" s="492"/>
      <c r="AV230" s="492"/>
      <c r="AW230" s="492"/>
      <c r="AX230" s="492"/>
      <c r="AY230" s="492"/>
      <c r="AZ230" s="511"/>
    </row>
    <row r="231" spans="1:52" x14ac:dyDescent="0.2">
      <c r="A231" s="492"/>
      <c r="B231" s="492"/>
      <c r="C231" s="492"/>
      <c r="D231" s="492"/>
      <c r="E231" s="492"/>
      <c r="F231" s="492"/>
      <c r="G231" s="492"/>
      <c r="H231" s="492"/>
      <c r="I231" s="492"/>
      <c r="J231" s="492"/>
      <c r="K231" s="492"/>
      <c r="L231" s="492"/>
      <c r="M231" s="492"/>
      <c r="N231" s="492"/>
      <c r="O231" s="492"/>
      <c r="P231" s="492"/>
      <c r="Q231" s="492"/>
      <c r="R231" s="492"/>
      <c r="S231" s="492"/>
      <c r="T231" s="492"/>
      <c r="U231" s="492"/>
      <c r="V231" s="492"/>
      <c r="W231" s="492"/>
      <c r="X231" s="492"/>
      <c r="Y231" s="492"/>
      <c r="Z231" s="492"/>
      <c r="AA231" s="492"/>
      <c r="AB231" s="492"/>
      <c r="AC231" s="492"/>
      <c r="AD231" s="492"/>
      <c r="AE231" s="492"/>
      <c r="AF231" s="492"/>
      <c r="AG231" s="492"/>
      <c r="AH231" s="492"/>
      <c r="AI231" s="492"/>
      <c r="AJ231" s="492"/>
      <c r="AK231" s="492"/>
      <c r="AL231" s="492"/>
      <c r="AM231" s="492"/>
      <c r="AN231" s="492"/>
      <c r="AO231" s="492"/>
      <c r="AP231" s="492"/>
      <c r="AQ231" s="492"/>
      <c r="AR231" s="492"/>
      <c r="AS231" s="492"/>
      <c r="AT231" s="492"/>
      <c r="AU231" s="492"/>
      <c r="AV231" s="492"/>
      <c r="AW231" s="492"/>
      <c r="AX231" s="492"/>
      <c r="AY231" s="492"/>
      <c r="AZ231" s="511"/>
    </row>
    <row r="232" spans="1:52" x14ac:dyDescent="0.2">
      <c r="A232" s="492"/>
      <c r="B232" s="492"/>
      <c r="C232" s="492"/>
      <c r="D232" s="492"/>
      <c r="E232" s="492"/>
      <c r="F232" s="492"/>
      <c r="G232" s="492"/>
      <c r="H232" s="492"/>
      <c r="I232" s="492"/>
      <c r="J232" s="492"/>
      <c r="K232" s="492"/>
      <c r="L232" s="492"/>
      <c r="M232" s="492"/>
      <c r="N232" s="492"/>
      <c r="O232" s="492"/>
      <c r="P232" s="492"/>
      <c r="Q232" s="492"/>
      <c r="R232" s="492"/>
      <c r="S232" s="492"/>
      <c r="T232" s="492"/>
      <c r="U232" s="492"/>
      <c r="V232" s="492"/>
      <c r="W232" s="492"/>
      <c r="X232" s="492"/>
      <c r="Y232" s="492"/>
      <c r="Z232" s="492"/>
      <c r="AA232" s="492"/>
      <c r="AB232" s="492"/>
      <c r="AC232" s="492"/>
      <c r="AD232" s="492"/>
      <c r="AE232" s="492"/>
      <c r="AF232" s="492"/>
      <c r="AG232" s="492"/>
      <c r="AH232" s="492"/>
      <c r="AI232" s="492"/>
      <c r="AJ232" s="492"/>
      <c r="AK232" s="492"/>
      <c r="AL232" s="492"/>
      <c r="AM232" s="492"/>
      <c r="AN232" s="492"/>
      <c r="AO232" s="492"/>
      <c r="AP232" s="492"/>
      <c r="AQ232" s="492"/>
      <c r="AR232" s="492"/>
      <c r="AS232" s="492"/>
      <c r="AT232" s="492"/>
      <c r="AU232" s="492"/>
      <c r="AV232" s="492"/>
      <c r="AW232" s="492"/>
      <c r="AX232" s="492"/>
      <c r="AY232" s="492"/>
      <c r="AZ232" s="492"/>
    </row>
    <row r="233" spans="1:52" x14ac:dyDescent="0.2">
      <c r="A233" s="492"/>
      <c r="B233" s="492"/>
      <c r="C233" s="492"/>
      <c r="D233" s="492"/>
      <c r="E233" s="492"/>
      <c r="F233" s="492"/>
      <c r="G233" s="492"/>
      <c r="H233" s="492"/>
      <c r="I233" s="492"/>
      <c r="J233" s="492"/>
      <c r="K233" s="492"/>
      <c r="L233" s="492"/>
      <c r="M233" s="492"/>
      <c r="N233" s="492"/>
      <c r="O233" s="492"/>
      <c r="P233" s="492"/>
      <c r="Q233" s="492"/>
      <c r="R233" s="492"/>
      <c r="S233" s="492"/>
      <c r="T233" s="492"/>
      <c r="U233" s="492"/>
      <c r="V233" s="492"/>
      <c r="W233" s="492"/>
      <c r="X233" s="492"/>
      <c r="Y233" s="492"/>
      <c r="Z233" s="492"/>
      <c r="AA233" s="492"/>
      <c r="AB233" s="492"/>
      <c r="AC233" s="492"/>
      <c r="AD233" s="492"/>
      <c r="AE233" s="492"/>
      <c r="AF233" s="492"/>
      <c r="AG233" s="492"/>
      <c r="AH233" s="492"/>
      <c r="AI233" s="492"/>
      <c r="AJ233" s="492"/>
      <c r="AK233" s="492"/>
      <c r="AL233" s="492"/>
      <c r="AM233" s="492"/>
      <c r="AN233" s="492"/>
      <c r="AO233" s="492"/>
      <c r="AP233" s="492"/>
      <c r="AQ233" s="492"/>
      <c r="AR233" s="492"/>
      <c r="AS233" s="492"/>
      <c r="AT233" s="492"/>
      <c r="AU233" s="492"/>
      <c r="AV233" s="492"/>
      <c r="AW233" s="492"/>
      <c r="AX233" s="492"/>
      <c r="AY233" s="492"/>
      <c r="AZ233" s="492"/>
    </row>
    <row r="234" spans="1:52" x14ac:dyDescent="0.2">
      <c r="A234" s="492"/>
      <c r="B234" s="492"/>
      <c r="C234" s="492"/>
      <c r="D234" s="492"/>
      <c r="E234" s="492"/>
      <c r="F234" s="492"/>
      <c r="G234" s="492"/>
      <c r="H234" s="492"/>
      <c r="I234" s="492"/>
      <c r="J234" s="492"/>
      <c r="K234" s="492"/>
      <c r="L234" s="492"/>
      <c r="M234" s="492"/>
      <c r="N234" s="492"/>
      <c r="O234" s="492"/>
      <c r="P234" s="492"/>
      <c r="Q234" s="492"/>
      <c r="R234" s="492"/>
      <c r="S234" s="492"/>
      <c r="T234" s="492"/>
      <c r="U234" s="492"/>
      <c r="V234" s="492"/>
      <c r="W234" s="492"/>
      <c r="X234" s="492"/>
      <c r="Y234" s="492"/>
      <c r="Z234" s="492"/>
      <c r="AA234" s="492"/>
      <c r="AB234" s="492"/>
      <c r="AC234" s="492"/>
      <c r="AD234" s="492"/>
      <c r="AE234" s="492"/>
      <c r="AF234" s="492"/>
      <c r="AG234" s="492"/>
      <c r="AH234" s="492"/>
      <c r="AI234" s="492"/>
      <c r="AJ234" s="492"/>
      <c r="AK234" s="492"/>
      <c r="AL234" s="492"/>
      <c r="AM234" s="492"/>
      <c r="AN234" s="492"/>
      <c r="AO234" s="492"/>
      <c r="AP234" s="492"/>
      <c r="AQ234" s="492"/>
      <c r="AR234" s="492"/>
      <c r="AS234" s="492"/>
      <c r="AT234" s="492"/>
      <c r="AU234" s="492"/>
      <c r="AV234" s="492"/>
      <c r="AW234" s="492"/>
      <c r="AX234" s="492"/>
      <c r="AY234" s="492"/>
      <c r="AZ234" s="492"/>
    </row>
    <row r="235" spans="1:52" x14ac:dyDescent="0.2">
      <c r="A235" s="492"/>
      <c r="B235" s="492"/>
      <c r="D235" s="492"/>
      <c r="E235" s="492"/>
      <c r="F235" s="492"/>
      <c r="G235" s="492"/>
      <c r="H235" s="492"/>
      <c r="I235" s="492"/>
      <c r="V235" s="492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topLeftCell="A28" zoomScaleNormal="100" workbookViewId="0">
      <selection activeCell="E20" sqref="E20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124</v>
      </c>
      <c r="B2" s="13" t="e">
        <f>H_ENGINE_TYPE</f>
        <v>#NAME?</v>
      </c>
      <c r="C2" s="14"/>
      <c r="D2" s="9"/>
      <c r="E2" s="30"/>
      <c r="F2" s="31"/>
      <c r="G2" s="36"/>
      <c r="H2" s="12" t="s">
        <v>218</v>
      </c>
      <c r="I2" s="7"/>
      <c r="J2" s="19" t="e">
        <f>C52:J52</f>
        <v>#NAME?</v>
      </c>
      <c r="K2" s="28"/>
    </row>
    <row r="3" spans="1:11" ht="15.75" x14ac:dyDescent="0.25">
      <c r="A3" s="12" t="s">
        <v>125</v>
      </c>
      <c r="B3" s="13" t="e">
        <f>H_CUSTOMER_NAME</f>
        <v>#NAME?</v>
      </c>
      <c r="C3" s="14"/>
      <c r="D3" s="9"/>
      <c r="E3" s="32"/>
      <c r="F3" s="33"/>
      <c r="G3" s="36"/>
      <c r="H3" s="12" t="s">
        <v>214</v>
      </c>
      <c r="I3" s="8"/>
      <c r="J3" s="21" t="e">
        <f>H_ESM_REV_NO</f>
        <v>#NAME?</v>
      </c>
      <c r="K3" s="29"/>
    </row>
    <row r="4" spans="1:11" ht="15.75" x14ac:dyDescent="0.25">
      <c r="A4" s="12" t="s">
        <v>127</v>
      </c>
      <c r="B4" s="13" t="e">
        <f>H_ENGINE_SERIAL_NO</f>
        <v>#NAME?</v>
      </c>
      <c r="C4" s="14"/>
      <c r="D4" s="34"/>
      <c r="E4" s="30"/>
      <c r="F4" s="31"/>
      <c r="G4" s="36"/>
      <c r="H4" s="12" t="s">
        <v>215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131</v>
      </c>
      <c r="B5" s="13" t="e">
        <f>H_ENG_CONF</f>
        <v>#NAME?</v>
      </c>
      <c r="C5" s="14"/>
      <c r="D5" s="9"/>
      <c r="E5" s="32"/>
      <c r="F5" s="31"/>
      <c r="G5" s="36"/>
      <c r="H5" s="12" t="s">
        <v>130</v>
      </c>
      <c r="I5" s="7"/>
      <c r="J5" s="19" t="e">
        <f>H_ECU_SOFT</f>
        <v>#NAME?</v>
      </c>
      <c r="K5" s="28"/>
    </row>
    <row r="6" spans="1:11" ht="15.75" x14ac:dyDescent="0.25">
      <c r="A6" s="12" t="s">
        <v>216</v>
      </c>
      <c r="B6" s="13" t="e">
        <f>H_TEST_TYPE</f>
        <v>#NAME?</v>
      </c>
      <c r="C6" s="14"/>
      <c r="D6" s="30"/>
      <c r="E6" s="30"/>
      <c r="F6" s="31"/>
      <c r="G6" s="36"/>
      <c r="H6" s="12" t="s">
        <v>126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128</v>
      </c>
      <c r="B7" s="40" t="e">
        <f>H_TEST_DATE</f>
        <v>#NAME?</v>
      </c>
      <c r="C7" s="14"/>
      <c r="D7" s="512" t="s">
        <v>315</v>
      </c>
      <c r="E7" s="513"/>
      <c r="F7" s="513"/>
      <c r="G7" s="514"/>
      <c r="H7" s="12" t="s">
        <v>129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133</v>
      </c>
      <c r="B8" s="13" t="e">
        <f>H_ENG_QUALITY_REPAIR</f>
        <v>#NAME?</v>
      </c>
      <c r="C8" s="14"/>
      <c r="D8" s="512"/>
      <c r="E8" s="513"/>
      <c r="F8" s="513"/>
      <c r="G8" s="514"/>
      <c r="H8" s="12" t="s">
        <v>134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135</v>
      </c>
      <c r="B11" s="132" t="s">
        <v>136</v>
      </c>
      <c r="C11" s="133" t="s">
        <v>137</v>
      </c>
      <c r="D11" s="133" t="s">
        <v>138</v>
      </c>
      <c r="E11" s="133" t="s">
        <v>205</v>
      </c>
      <c r="F11" s="133" t="s">
        <v>206</v>
      </c>
      <c r="G11" s="133"/>
      <c r="H11" s="133"/>
      <c r="I11" s="133"/>
      <c r="J11" s="133" t="s">
        <v>139</v>
      </c>
    </row>
    <row r="12" spans="1:11" x14ac:dyDescent="0.2">
      <c r="B12" s="22"/>
    </row>
    <row r="13" spans="1:11" ht="14.25" x14ac:dyDescent="0.2">
      <c r="A13" s="106" t="s">
        <v>166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/>
      <c r="H13" s="106"/>
      <c r="I13" s="106"/>
      <c r="J13" s="106" t="e">
        <f>C_Engine_Configuration_1 S_Shut_D_oil_fuel</f>
        <v>#NAME?</v>
      </c>
    </row>
    <row r="14" spans="1:11" ht="14.25" x14ac:dyDescent="0.2">
      <c r="A14" s="106" t="s">
        <v>121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/>
      <c r="H14" s="109"/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140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/>
      <c r="H15" s="109"/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141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/>
      <c r="H16" s="109"/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186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/>
      <c r="H17" s="111"/>
      <c r="I17" s="111"/>
      <c r="J17" s="111" t="e">
        <f>C_DateDays S_Shut_D_oil_fuel</f>
        <v>#NAME?</v>
      </c>
    </row>
    <row r="18" spans="1:10" ht="14.25" x14ac:dyDescent="0.2">
      <c r="A18" s="106" t="s">
        <v>167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/>
      <c r="H18" s="113"/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/>
      <c r="H20" s="115"/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/>
      <c r="H21" s="117"/>
      <c r="I21" s="116"/>
      <c r="J21" s="116" t="s">
        <v>1</v>
      </c>
    </row>
    <row r="22" spans="1:10" ht="15" x14ac:dyDescent="0.2">
      <c r="A22" s="100" t="s">
        <v>16</v>
      </c>
      <c r="B22" s="108" t="s">
        <v>147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/>
      <c r="H22" s="117"/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38"/>
      <c r="H23" s="38"/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8"/>
      <c r="H24" s="118"/>
      <c r="I24" s="116"/>
      <c r="J24" s="116" t="s">
        <v>1</v>
      </c>
    </row>
    <row r="25" spans="1:10" ht="15" x14ac:dyDescent="0.2">
      <c r="A25" s="100" t="s">
        <v>6</v>
      </c>
      <c r="B25" s="108" t="s">
        <v>148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9"/>
      <c r="H25" s="119"/>
      <c r="I25" s="116"/>
      <c r="J25" s="116" t="s">
        <v>1</v>
      </c>
    </row>
    <row r="26" spans="1:10" ht="15" x14ac:dyDescent="0.2">
      <c r="A26" s="100" t="s">
        <v>63</v>
      </c>
      <c r="B26" s="108" t="s">
        <v>149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/>
      <c r="H26" s="118"/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/>
      <c r="H27" s="121"/>
      <c r="I27" s="116"/>
      <c r="J27" s="116" t="s">
        <v>1</v>
      </c>
    </row>
    <row r="28" spans="1:10" ht="15" x14ac:dyDescent="0.2">
      <c r="A28" s="100" t="s">
        <v>18</v>
      </c>
      <c r="B28" s="108" t="s">
        <v>147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/>
      <c r="H28" s="117"/>
      <c r="I28" s="116"/>
      <c r="J28" s="116" t="s">
        <v>1</v>
      </c>
    </row>
    <row r="29" spans="1:10" ht="15" x14ac:dyDescent="0.2">
      <c r="A29" s="100" t="s">
        <v>142</v>
      </c>
      <c r="B29" s="108" t="s">
        <v>148</v>
      </c>
      <c r="C29" s="116" t="s">
        <v>1</v>
      </c>
      <c r="D29" s="116" t="s">
        <v>1</v>
      </c>
      <c r="E29" s="119" t="e">
        <f>C_EGTKM S_maxi_continu1</f>
        <v>#NAME?</v>
      </c>
      <c r="F29" s="119" t="e">
        <f>C_EGTKM S_take_off1</f>
        <v>#NAME?</v>
      </c>
      <c r="G29" s="119"/>
      <c r="H29" s="119"/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/>
      <c r="H30" s="117"/>
      <c r="I30" s="116"/>
      <c r="J30" s="116" t="s">
        <v>1</v>
      </c>
    </row>
    <row r="31" spans="1:10" ht="15" x14ac:dyDescent="0.2">
      <c r="A31" s="100" t="s">
        <v>306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/>
      <c r="H31" s="117"/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/>
      <c r="H32" s="117"/>
      <c r="I32" s="116"/>
      <c r="J32" s="116" t="s">
        <v>1</v>
      </c>
    </row>
    <row r="33" spans="1:11" ht="15" x14ac:dyDescent="0.2">
      <c r="A33" s="100" t="s">
        <v>4</v>
      </c>
      <c r="B33" s="108" t="s">
        <v>148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9"/>
      <c r="H33" s="119"/>
      <c r="I33" s="116"/>
      <c r="J33" s="116" t="s">
        <v>1</v>
      </c>
    </row>
    <row r="34" spans="1:11" ht="15" x14ac:dyDescent="0.2">
      <c r="A34" s="100" t="s">
        <v>170</v>
      </c>
      <c r="B34" s="108" t="s">
        <v>148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9"/>
      <c r="H34" s="119"/>
      <c r="I34" s="116"/>
      <c r="J34" s="116" t="s">
        <v>1</v>
      </c>
    </row>
    <row r="35" spans="1:11" ht="15" x14ac:dyDescent="0.2">
      <c r="A35" s="100" t="s">
        <v>5</v>
      </c>
      <c r="B35" s="108" t="s">
        <v>148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9"/>
      <c r="H35" s="119"/>
      <c r="I35" s="116"/>
      <c r="J35" s="116" t="s">
        <v>1</v>
      </c>
    </row>
    <row r="36" spans="1:11" ht="15" x14ac:dyDescent="0.2">
      <c r="A36" s="100" t="s">
        <v>143</v>
      </c>
      <c r="B36" s="108" t="s">
        <v>148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9"/>
      <c r="H36" s="119"/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/>
      <c r="H37" s="134"/>
      <c r="I37" s="134"/>
      <c r="J37" s="135" t="e">
        <f>C_MOPK S_Shut_D_oil_fuel</f>
        <v>#NAME?</v>
      </c>
    </row>
    <row r="38" spans="1:11" ht="15" x14ac:dyDescent="0.2">
      <c r="A38" s="100"/>
      <c r="B38" s="108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168</v>
      </c>
      <c r="J39" s="22" t="s">
        <v>169</v>
      </c>
    </row>
    <row r="40" spans="1:11" ht="15" x14ac:dyDescent="0.2">
      <c r="A40" t="s">
        <v>211</v>
      </c>
      <c r="B40" s="124"/>
      <c r="D40" t="s">
        <v>212</v>
      </c>
      <c r="E40" s="122" t="e">
        <f>C_tAcc1 S_Accel</f>
        <v>#NAME?</v>
      </c>
      <c r="F40" t="s">
        <v>189</v>
      </c>
      <c r="H40" s="37" t="s">
        <v>310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H41" s="37" t="s">
        <v>311</v>
      </c>
      <c r="I41" s="123" t="e">
        <f>C_Vib1N2Pk S_pic_de_vib</f>
        <v>#NAME?</v>
      </c>
      <c r="J41" s="123" t="e">
        <f>C_Vib1N2PkD S_pic_de_vib</f>
        <v>#NAME?</v>
      </c>
      <c r="K41" s="37" t="s">
        <v>314</v>
      </c>
    </row>
    <row r="42" spans="1:11" ht="15" x14ac:dyDescent="0.2">
      <c r="B42" s="125"/>
      <c r="E42" s="10"/>
      <c r="H42" s="37" t="s">
        <v>312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210</v>
      </c>
      <c r="B43" s="124"/>
      <c r="C43" t="s">
        <v>190</v>
      </c>
      <c r="D43" t="s">
        <v>144</v>
      </c>
      <c r="E43" s="39" t="e">
        <f>C_tRunning S_Shut_D_oil_fuel</f>
        <v>#NAME?</v>
      </c>
      <c r="F43" s="37" t="s">
        <v>219</v>
      </c>
      <c r="H43" s="37" t="s">
        <v>313</v>
      </c>
      <c r="I43" s="123" t="e">
        <f>C_Vib2N2Pk S_pic_de_vib</f>
        <v>#NAME?</v>
      </c>
      <c r="J43" s="123" t="e">
        <f>C_Vib2N2PkD S_pic_de_vib</f>
        <v>#NAME?</v>
      </c>
      <c r="K43" s="37" t="s">
        <v>314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213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60"/>
      <c r="C48" s="10"/>
      <c r="D48" s="37"/>
      <c r="E48" s="60"/>
    </row>
    <row r="49" spans="1:11" ht="15" x14ac:dyDescent="0.2">
      <c r="A49" s="20" t="s">
        <v>217</v>
      </c>
      <c r="B49" s="97"/>
      <c r="C49" s="97"/>
      <c r="D49" s="20" t="s">
        <v>209</v>
      </c>
      <c r="E49" s="97"/>
      <c r="F49" s="98"/>
      <c r="G49" s="37"/>
      <c r="H49" s="99" t="s">
        <v>309</v>
      </c>
      <c r="I49" s="97"/>
      <c r="J49" s="97"/>
    </row>
    <row r="50" spans="1:11" s="106" customFormat="1" ht="15.75" x14ac:dyDescent="0.25">
      <c r="A50" s="131" t="s">
        <v>135</v>
      </c>
      <c r="B50" s="132" t="s">
        <v>136</v>
      </c>
      <c r="C50" s="133" t="s">
        <v>137</v>
      </c>
      <c r="D50" s="133" t="s">
        <v>138</v>
      </c>
      <c r="E50" s="133" t="s">
        <v>205</v>
      </c>
      <c r="F50" s="133" t="s">
        <v>206</v>
      </c>
      <c r="G50" s="133"/>
      <c r="H50" s="133"/>
      <c r="I50" s="133"/>
      <c r="J50" s="133" t="s">
        <v>139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132</v>
      </c>
      <c r="B52" s="130"/>
      <c r="C52" s="109" t="e">
        <f t="shared" ref="C52:J52" si="0">H_TEST_NAME</f>
        <v>#NAME?</v>
      </c>
      <c r="D52" s="109" t="e">
        <f t="shared" si="0"/>
        <v>#NAME?</v>
      </c>
      <c r="E52" s="109" t="e">
        <f t="shared" si="0"/>
        <v>#NAME?</v>
      </c>
      <c r="F52" s="109" t="e">
        <f t="shared" si="0"/>
        <v>#NAME?</v>
      </c>
      <c r="G52" s="109"/>
      <c r="H52" s="109"/>
      <c r="I52" s="109"/>
      <c r="J52" s="109" t="e">
        <f t="shared" si="0"/>
        <v>#NAME?</v>
      </c>
    </row>
    <row r="53" spans="1:11" ht="14.25" x14ac:dyDescent="0.2">
      <c r="A53" s="106" t="s">
        <v>127</v>
      </c>
      <c r="B53" s="130"/>
      <c r="C53" s="106" t="e">
        <f t="shared" ref="C53:J53" si="1">H_ENGINE_SERIAL_NO</f>
        <v>#NAME?</v>
      </c>
      <c r="D53" s="106" t="e">
        <f t="shared" si="1"/>
        <v>#NAME?</v>
      </c>
      <c r="E53" s="106" t="e">
        <f t="shared" si="1"/>
        <v>#NAME?</v>
      </c>
      <c r="F53" s="106" t="e">
        <f t="shared" si="1"/>
        <v>#NAME?</v>
      </c>
      <c r="G53" s="106"/>
      <c r="H53" s="106"/>
      <c r="I53" s="106"/>
      <c r="J53" s="106" t="e">
        <f t="shared" si="1"/>
        <v>#NAME?</v>
      </c>
    </row>
    <row r="54" spans="1:11" ht="14.25" x14ac:dyDescent="0.2">
      <c r="A54" s="106" t="s">
        <v>131</v>
      </c>
      <c r="B54" s="130" t="s">
        <v>150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/>
      <c r="H54" s="109"/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146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/>
      <c r="H56" s="127"/>
      <c r="I56" s="127"/>
      <c r="J56" s="127" t="e">
        <f>C_RHUM S_Shut_D_oil_fuel</f>
        <v>#NAME?</v>
      </c>
      <c r="K56" s="99"/>
    </row>
    <row r="57" spans="1:11" ht="14.25" x14ac:dyDescent="0.2">
      <c r="A57" s="100" t="s">
        <v>162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/>
      <c r="H57" s="127"/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145</v>
      </c>
      <c r="B58" s="108" t="s">
        <v>151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/>
      <c r="H58" s="127"/>
      <c r="I58" s="127"/>
      <c r="J58" s="127" t="e">
        <f>C_HUM S_Shut_D_oil_fuel</f>
        <v>#NAME?</v>
      </c>
      <c r="K58" s="99"/>
    </row>
    <row r="59" spans="1:11" ht="14.25" x14ac:dyDescent="0.2">
      <c r="A59" s="100" t="s">
        <v>224</v>
      </c>
      <c r="B59" s="108" t="s">
        <v>225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/>
      <c r="H59" s="127"/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/>
      <c r="H60" s="101"/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/>
      <c r="H61" s="101"/>
      <c r="I61" s="101"/>
      <c r="J61" s="101" t="e">
        <f>C_N2 S_Shut_D_oil_fuel</f>
        <v>#NAME?</v>
      </c>
      <c r="K61" s="99"/>
    </row>
    <row r="62" spans="1:11" ht="14.25" x14ac:dyDescent="0.2">
      <c r="A62" s="100" t="s">
        <v>152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/>
      <c r="H62" s="101"/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/>
      <c r="H63" s="101"/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/>
      <c r="H64" s="101"/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/>
      <c r="H65" s="101"/>
      <c r="I65" s="101"/>
      <c r="J65" s="101" t="e">
        <f>C_WF1 S_Shut_D_oil_fuel</f>
        <v>#NAME?</v>
      </c>
      <c r="K65" s="99"/>
    </row>
    <row r="66" spans="1:11" ht="14.25" x14ac:dyDescent="0.2">
      <c r="A66" s="100" t="s">
        <v>153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/>
      <c r="H66" s="127"/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154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/>
      <c r="H67" s="127"/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/>
      <c r="H68" s="127"/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/>
      <c r="H69" s="127"/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/>
      <c r="H70" s="127"/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/>
      <c r="H71" s="127"/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155</v>
      </c>
      <c r="B72" s="108" t="s">
        <v>148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/>
      <c r="H72" s="127"/>
      <c r="I72" s="127"/>
      <c r="J72" s="127" t="e">
        <f>C_TT2 S_Shut_D_oil_fuel</f>
        <v>#NAME?</v>
      </c>
      <c r="K72" s="99"/>
    </row>
    <row r="73" spans="1:11" ht="14.25" x14ac:dyDescent="0.2">
      <c r="A73" s="100" t="s">
        <v>156</v>
      </c>
      <c r="B73" s="108" t="s">
        <v>148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/>
      <c r="H73" s="127"/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157</v>
      </c>
      <c r="B74" s="108" t="s">
        <v>148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/>
      <c r="H74" s="127"/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158</v>
      </c>
      <c r="B75" s="108" t="s">
        <v>148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/>
      <c r="H75" s="127"/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122</v>
      </c>
      <c r="B76" s="108" t="s">
        <v>148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/>
      <c r="H76" s="127"/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174</v>
      </c>
      <c r="B77" s="108" t="s">
        <v>148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/>
      <c r="H77" s="127"/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148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/>
      <c r="H78" s="127"/>
      <c r="I78" s="127"/>
      <c r="J78" s="127" t="e">
        <f>C_MOT S_Shut_D_oil_fuel</f>
        <v>#NAME?</v>
      </c>
      <c r="K78" s="99"/>
    </row>
    <row r="79" spans="1:11" ht="14.25" x14ac:dyDescent="0.2">
      <c r="A79" s="100" t="s">
        <v>159</v>
      </c>
      <c r="B79" s="108" t="s">
        <v>148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/>
      <c r="H79" s="127"/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226</v>
      </c>
      <c r="B80" s="108" t="s">
        <v>148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/>
      <c r="H80" s="127"/>
      <c r="I80" s="127"/>
      <c r="J80" s="127" t="e">
        <f>C_T_Fuel_Fac S_Shut_D_oil_fuel</f>
        <v>#NAME?</v>
      </c>
      <c r="K80" s="99"/>
    </row>
    <row r="81" spans="1:248" ht="14.25" x14ac:dyDescent="0.2">
      <c r="A81" s="100" t="s">
        <v>160</v>
      </c>
      <c r="B81" s="108" t="s">
        <v>148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/>
      <c r="H81" s="127"/>
      <c r="I81" s="127"/>
      <c r="J81" s="127" t="e">
        <f>C_T_FWD_ADAPT S_Shut_D_oil_fuel</f>
        <v>#NAME?</v>
      </c>
      <c r="K81" s="99"/>
    </row>
    <row r="82" spans="1:248" ht="14.25" x14ac:dyDescent="0.2">
      <c r="A82" s="100" t="s">
        <v>161</v>
      </c>
      <c r="B82" s="108" t="s">
        <v>148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/>
      <c r="H82" s="127"/>
      <c r="I82" s="127"/>
      <c r="J82" s="127" t="e">
        <f>C_T_AFT_ADAPT S_Shut_D_oil_fuel</f>
        <v>#NAME?</v>
      </c>
      <c r="K82" s="99"/>
    </row>
    <row r="83" spans="1:248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/>
      <c r="H83" s="128"/>
      <c r="I83" s="128"/>
      <c r="J83" s="128" t="e">
        <f>C_PAMB1 S_Shut_D_oil_fuel</f>
        <v>#NAME?</v>
      </c>
      <c r="K83" s="107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/>
      <c r="H84" s="128"/>
      <c r="I84" s="128"/>
      <c r="J84" s="128" t="e">
        <f>C_PAMB2 S_Shut_D_oil_fuel</f>
        <v>#NAME?</v>
      </c>
      <c r="K84" s="99"/>
    </row>
    <row r="85" spans="1:248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/>
      <c r="H85" s="128"/>
      <c r="I85" s="128"/>
      <c r="J85" s="128" t="e">
        <f>C_P_Cell_Front S_Shut_D_oil_fuel</f>
        <v>#NAME?</v>
      </c>
      <c r="K85" s="99"/>
    </row>
    <row r="86" spans="1:248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/>
      <c r="H86" s="128"/>
      <c r="I86" s="128"/>
      <c r="J86" s="128" t="e">
        <f>C_P_Cell_Rear S_Shut_D_oil_fuel</f>
        <v>#NAME?</v>
      </c>
      <c r="K86" s="99"/>
    </row>
    <row r="87" spans="1:248" ht="14.25" x14ac:dyDescent="0.2">
      <c r="A87" s="100" t="s">
        <v>173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/>
      <c r="H87" s="128"/>
      <c r="I87" s="128"/>
      <c r="J87" s="128" t="s">
        <v>1</v>
      </c>
      <c r="K87" s="99"/>
    </row>
    <row r="88" spans="1:248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/>
      <c r="H88" s="128"/>
      <c r="I88" s="128"/>
      <c r="J88" s="128" t="e">
        <f>C_PS2W S_Shut_D_oil_fuel</f>
        <v>#NAME?</v>
      </c>
      <c r="K88" s="99"/>
    </row>
    <row r="89" spans="1:248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/>
      <c r="H89" s="128"/>
      <c r="I89" s="128"/>
      <c r="J89" s="128" t="e">
        <f>C_PS2W1 S_Shut_D_oil_fuel</f>
        <v>#NAME?</v>
      </c>
      <c r="K89" s="99"/>
    </row>
    <row r="90" spans="1:248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/>
      <c r="H90" s="128"/>
      <c r="I90" s="128"/>
      <c r="J90" s="128" t="e">
        <f>C_PS2W2 S_Shut_D_oil_fuel</f>
        <v>#NAME?</v>
      </c>
      <c r="K90" s="99"/>
    </row>
    <row r="91" spans="1:248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/>
      <c r="H91" s="128"/>
      <c r="I91" s="128"/>
      <c r="J91" s="128" t="e">
        <f>C_PS2W3 S_Shut_D_oil_fuel</f>
        <v>#NAME?</v>
      </c>
      <c r="K91" s="99"/>
    </row>
    <row r="92" spans="1:248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/>
      <c r="H92" s="128"/>
      <c r="I92" s="128"/>
      <c r="J92" s="128" t="e">
        <f>C_PS2W4 S_Shut_D_oil_fuel</f>
        <v>#NAME?</v>
      </c>
      <c r="K92" s="99"/>
    </row>
    <row r="93" spans="1:248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/>
      <c r="H93" s="128"/>
      <c r="I93" s="128"/>
      <c r="J93" s="128" t="e">
        <f>IF(C_PS13_ECU S_Shut_D_oil_fuel&gt;C_PS13 S_Shut_D_oil_fuel,"N/A",C_PS13 S_Shut_D_oil_fuel)</f>
        <v>#NAME?</v>
      </c>
      <c r="K93" s="99"/>
    </row>
    <row r="94" spans="1:248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/>
      <c r="H94" s="128"/>
      <c r="I94" s="128"/>
      <c r="J94" s="128" t="e">
        <f>IF(C_PS13_ECU S_Shut_D_oil_fuel&gt;C_PS13 S_Shut_D_oil_fuel,C_PS13_ECU S_Shut_D_oil_fuel,"N/A")</f>
        <v>#NAME?</v>
      </c>
      <c r="K94" s="99"/>
    </row>
    <row r="95" spans="1:248" ht="14.25" x14ac:dyDescent="0.2">
      <c r="A95" s="100" t="s">
        <v>223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/>
      <c r="H95" s="128"/>
      <c r="I95" s="128"/>
      <c r="J95" s="128" t="e">
        <f>IF(C_P25_ECU S_Shut_D_oil_fuel&lt;15,"N/A",C_P25_ECU S_Shut_D_oil_fuel)</f>
        <v>#NAME?</v>
      </c>
      <c r="K95" s="99"/>
    </row>
    <row r="96" spans="1:248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/>
      <c r="H96" s="128"/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/>
      <c r="H97" s="128"/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/>
      <c r="H98" s="128"/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/>
      <c r="H99" s="128"/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/>
      <c r="H100" s="129"/>
      <c r="I100" s="128"/>
      <c r="J100" s="128" t="e">
        <f>C_PS3_SEL_A S_Shut_D_oil_fuel</f>
        <v>#NAME?</v>
      </c>
      <c r="K100" s="20"/>
    </row>
    <row r="101" spans="1:11" s="106" customFormat="1" ht="15.75" x14ac:dyDescent="0.25">
      <c r="A101" s="131" t="s">
        <v>135</v>
      </c>
      <c r="B101" s="132" t="s">
        <v>136</v>
      </c>
      <c r="C101" s="133" t="s">
        <v>137</v>
      </c>
      <c r="D101" s="133" t="s">
        <v>138</v>
      </c>
      <c r="E101" s="133" t="s">
        <v>205</v>
      </c>
      <c r="F101" s="133" t="s">
        <v>206</v>
      </c>
      <c r="G101" s="133"/>
      <c r="H101" s="133"/>
      <c r="I101" s="133"/>
      <c r="J101" s="133" t="s">
        <v>139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132</v>
      </c>
      <c r="B103" s="130"/>
      <c r="C103" s="109" t="e">
        <f t="shared" ref="C103:J103" si="2">H_TEST_NAME</f>
        <v>#NAME?</v>
      </c>
      <c r="D103" s="109" t="e">
        <f t="shared" si="2"/>
        <v>#NAME?</v>
      </c>
      <c r="E103" s="109" t="e">
        <f t="shared" si="2"/>
        <v>#NAME?</v>
      </c>
      <c r="F103" s="109" t="e">
        <f t="shared" si="2"/>
        <v>#NAME?</v>
      </c>
      <c r="G103" s="109"/>
      <c r="H103" s="109"/>
      <c r="I103" s="109"/>
      <c r="J103" s="109" t="e">
        <f t="shared" si="2"/>
        <v>#NAME?</v>
      </c>
    </row>
    <row r="104" spans="1:11" s="37" customFormat="1" ht="14.25" x14ac:dyDescent="0.2">
      <c r="A104" s="106" t="s">
        <v>127</v>
      </c>
      <c r="B104" s="130"/>
      <c r="C104" s="106" t="e">
        <f t="shared" ref="C104:J104" si="3">H_ENGINE_SERIAL_NO</f>
        <v>#NAME?</v>
      </c>
      <c r="D104" s="106" t="e">
        <f t="shared" si="3"/>
        <v>#NAME?</v>
      </c>
      <c r="E104" s="106" t="e">
        <f t="shared" si="3"/>
        <v>#NAME?</v>
      </c>
      <c r="F104" s="106" t="e">
        <f t="shared" si="3"/>
        <v>#NAME?</v>
      </c>
      <c r="G104" s="106"/>
      <c r="H104" s="106"/>
      <c r="I104" s="106"/>
      <c r="J104" s="106" t="e">
        <f t="shared" si="3"/>
        <v>#NAME?</v>
      </c>
    </row>
    <row r="105" spans="1:11" s="37" customFormat="1" ht="14.25" x14ac:dyDescent="0.2">
      <c r="A105" s="106" t="s">
        <v>131</v>
      </c>
      <c r="B105" s="130" t="s">
        <v>150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/>
      <c r="H105" s="109"/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187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/>
      <c r="H107" s="128"/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/>
      <c r="H108" s="129"/>
      <c r="I108" s="128"/>
      <c r="J108" s="128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/>
      <c r="H109" s="129"/>
      <c r="I109" s="128"/>
      <c r="J109" s="128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/>
      <c r="H110" s="129"/>
      <c r="I110" s="128"/>
      <c r="J110" s="128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/>
      <c r="H111" s="129"/>
      <c r="I111" s="128"/>
      <c r="J111" s="128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/>
      <c r="H112" s="129"/>
      <c r="I112" s="128"/>
      <c r="J112" s="128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/>
      <c r="H113" s="129"/>
      <c r="I113" s="128"/>
      <c r="J113" s="128" t="e">
        <f>C_P_Fuel S_Shut_D_oil_fuel</f>
        <v>#NAME?</v>
      </c>
      <c r="K113" s="106"/>
    </row>
    <row r="114" spans="1:11" ht="14.25" x14ac:dyDescent="0.2">
      <c r="A114" s="100" t="s">
        <v>171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/>
      <c r="H114" s="103"/>
      <c r="I114" s="127"/>
      <c r="J114" s="127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/>
      <c r="H115" s="103"/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/>
      <c r="H116" s="103"/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/>
      <c r="H117" s="103"/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303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/>
      <c r="H118" s="103"/>
      <c r="I118" s="127"/>
      <c r="J118" s="127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/>
      <c r="H119" s="136"/>
      <c r="I119" s="101"/>
      <c r="J119" s="101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/>
      <c r="H120" s="102"/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147</v>
      </c>
      <c r="C121" s="137" t="s">
        <v>1</v>
      </c>
      <c r="D121" s="137" t="s">
        <v>1</v>
      </c>
      <c r="E121" s="102" t="e">
        <f>C_FNK S_maxi_continu1</f>
        <v>#NAME?</v>
      </c>
      <c r="F121" s="102" t="e">
        <f>C_FNK S_take_off1</f>
        <v>#NAME?</v>
      </c>
      <c r="G121" s="102"/>
      <c r="H121" s="102"/>
      <c r="I121" s="137"/>
      <c r="J121" s="137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/>
      <c r="H122" s="102"/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148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/>
      <c r="H123" s="104"/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149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/>
      <c r="H124" s="104"/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/>
      <c r="H125" s="129"/>
      <c r="I125" s="128"/>
      <c r="J125" s="128" t="e">
        <f>C_MOPK S_Shut_D_oil_fuel</f>
        <v>#NAME?</v>
      </c>
      <c r="K125" s="106"/>
    </row>
    <row r="126" spans="1:11" ht="14.25" x14ac:dyDescent="0.2">
      <c r="A126" s="100" t="s">
        <v>163</v>
      </c>
      <c r="B126" s="108" t="s">
        <v>164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/>
      <c r="H126" s="103"/>
      <c r="I126" s="127"/>
      <c r="J126" s="127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/>
      <c r="H127" s="136"/>
      <c r="I127" s="101"/>
      <c r="J127" s="101" t="e">
        <f>C_N2R25 S_Shut_D_oil_fuel</f>
        <v>#NAME?</v>
      </c>
      <c r="K127" s="106"/>
    </row>
    <row r="128" spans="1:11" ht="14.25" x14ac:dyDescent="0.2">
      <c r="A128" s="100" t="s">
        <v>188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/>
      <c r="H128" s="129"/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149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/>
      <c r="H129" s="103"/>
      <c r="I129" s="127"/>
      <c r="J129" s="127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301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/>
      <c r="H130" s="103"/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165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/>
      <c r="H131" s="103"/>
      <c r="I131" s="127"/>
      <c r="J131" s="127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147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4"/>
      <c r="H132" s="104"/>
      <c r="I132" s="105"/>
      <c r="J132" s="105" t="s">
        <v>1</v>
      </c>
      <c r="K132" s="106"/>
    </row>
    <row r="133" spans="1:11" ht="14.25" x14ac:dyDescent="0.2">
      <c r="A133" s="100" t="s">
        <v>142</v>
      </c>
      <c r="B133" s="108" t="s">
        <v>148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/>
      <c r="H133" s="104"/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37" t="s">
        <v>1</v>
      </c>
      <c r="D134" s="137" t="s">
        <v>1</v>
      </c>
      <c r="E134" s="102" t="e">
        <f>C_N2KM S_maxi_continu1</f>
        <v>#NAME?</v>
      </c>
      <c r="F134" s="102" t="e">
        <f>C_N2KM S_take_off1</f>
        <v>#NAME?</v>
      </c>
      <c r="G134" s="102"/>
      <c r="H134" s="102"/>
      <c r="I134" s="137"/>
      <c r="J134" s="105" t="s">
        <v>1</v>
      </c>
      <c r="K134" s="106"/>
    </row>
    <row r="135" spans="1:11" ht="14.25" x14ac:dyDescent="0.2">
      <c r="A135" s="100" t="s">
        <v>172</v>
      </c>
      <c r="B135" s="108" t="s">
        <v>30</v>
      </c>
      <c r="C135" s="137" t="s">
        <v>1</v>
      </c>
      <c r="D135" s="137" t="s">
        <v>1</v>
      </c>
      <c r="E135" s="102" t="e">
        <f>C_N2R2HD S_maxi_continu1</f>
        <v>#NAME?</v>
      </c>
      <c r="F135" s="102" t="e">
        <f>C_N2R2HD S_take_off1</f>
        <v>#NAME?</v>
      </c>
      <c r="G135" s="102"/>
      <c r="H135" s="102"/>
      <c r="I135" s="137"/>
      <c r="J135" s="105" t="s">
        <v>1</v>
      </c>
      <c r="K135" s="106"/>
    </row>
    <row r="136" spans="1:11" ht="14.25" x14ac:dyDescent="0.2">
      <c r="A136" s="100" t="s">
        <v>4</v>
      </c>
      <c r="B136" s="108" t="s">
        <v>148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/>
      <c r="H136" s="104"/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37" t="s">
        <v>1</v>
      </c>
      <c r="D137" s="137" t="s">
        <v>1</v>
      </c>
      <c r="E137" s="102" t="e">
        <f>C_N2HDM S_maxi_continu1</f>
        <v>#NAME?</v>
      </c>
      <c r="F137" s="102" t="e">
        <f>C_N2HDM S_take_off1</f>
        <v>#NAME?</v>
      </c>
      <c r="G137" s="104"/>
      <c r="H137" s="104"/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148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/>
      <c r="H138" s="104"/>
      <c r="I138" s="105"/>
      <c r="J138" s="105" t="s">
        <v>1</v>
      </c>
      <c r="K138" s="106"/>
    </row>
    <row r="139" spans="1:11" ht="14.25" x14ac:dyDescent="0.2">
      <c r="A139" s="100" t="s">
        <v>143</v>
      </c>
      <c r="B139" s="108" t="s">
        <v>148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/>
      <c r="H139" s="104"/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8" priority="4" stopIfTrue="1">
      <formula>LEN(TRIM(B40))=0</formula>
    </cfRule>
  </conditionalFormatting>
  <conditionalFormatting sqref="B43">
    <cfRule type="containsBlanks" dxfId="457" priority="3" stopIfTrue="1">
      <formula>LEN(TRIM(B43))=0</formula>
    </cfRule>
  </conditionalFormatting>
  <conditionalFormatting sqref="B46">
    <cfRule type="containsBlanks" dxfId="456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124</v>
      </c>
      <c r="B2" s="13" t="e">
        <f>H_ENGINE_TYPE</f>
        <v>#NAME?</v>
      </c>
      <c r="C2" s="14"/>
      <c r="D2" s="9"/>
      <c r="E2" s="30"/>
      <c r="F2" s="31"/>
      <c r="G2" s="36"/>
      <c r="H2" s="12" t="s">
        <v>218</v>
      </c>
      <c r="I2" s="7"/>
      <c r="J2" s="19" t="e">
        <f>C52:J52</f>
        <v>#NAME?</v>
      </c>
      <c r="K2" s="28"/>
    </row>
    <row r="3" spans="1:11" ht="15.75" x14ac:dyDescent="0.25">
      <c r="A3" s="12" t="s">
        <v>125</v>
      </c>
      <c r="B3" s="13" t="e">
        <f>H_CUSTOMER_NAME</f>
        <v>#NAME?</v>
      </c>
      <c r="C3" s="14"/>
      <c r="D3" s="9"/>
      <c r="E3" s="32"/>
      <c r="F3" s="33"/>
      <c r="G3" s="36"/>
      <c r="H3" s="12" t="s">
        <v>214</v>
      </c>
      <c r="I3" s="8"/>
      <c r="J3" s="21" t="e">
        <f>H_ESM_REV_NO</f>
        <v>#NAME?</v>
      </c>
      <c r="K3" s="29"/>
    </row>
    <row r="4" spans="1:11" ht="15.75" x14ac:dyDescent="0.25">
      <c r="A4" s="12" t="s">
        <v>127</v>
      </c>
      <c r="B4" s="13" t="e">
        <f>H_ENGINE_SERIAL_NO</f>
        <v>#NAME?</v>
      </c>
      <c r="C4" s="14"/>
      <c r="D4" s="34"/>
      <c r="E4" s="30"/>
      <c r="F4" s="31"/>
      <c r="G4" s="36"/>
      <c r="H4" s="12" t="s">
        <v>215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131</v>
      </c>
      <c r="B5" s="13" t="e">
        <f>H_ENG_CONF</f>
        <v>#NAME?</v>
      </c>
      <c r="C5" s="14"/>
      <c r="D5" s="9"/>
      <c r="E5" s="32"/>
      <c r="F5" s="31"/>
      <c r="G5" s="36"/>
      <c r="H5" s="12" t="s">
        <v>130</v>
      </c>
      <c r="I5" s="7"/>
      <c r="J5" s="19" t="e">
        <f>H_ECU_SOFT</f>
        <v>#NAME?</v>
      </c>
      <c r="K5" s="28"/>
    </row>
    <row r="6" spans="1:11" ht="15.75" x14ac:dyDescent="0.25">
      <c r="A6" s="12" t="s">
        <v>216</v>
      </c>
      <c r="B6" s="13" t="e">
        <f>H_TEST_TYPE</f>
        <v>#NAME?</v>
      </c>
      <c r="C6" s="14"/>
      <c r="D6" s="30"/>
      <c r="E6" s="30"/>
      <c r="F6" s="31"/>
      <c r="G6" s="36"/>
      <c r="H6" s="12" t="s">
        <v>126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128</v>
      </c>
      <c r="B7" s="40" t="e">
        <f>H_TEST_DATE</f>
        <v>#NAME?</v>
      </c>
      <c r="C7" s="14"/>
      <c r="D7" s="512" t="s">
        <v>315</v>
      </c>
      <c r="E7" s="513"/>
      <c r="F7" s="513"/>
      <c r="G7" s="514"/>
      <c r="H7" s="12" t="s">
        <v>129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133</v>
      </c>
      <c r="B8" s="13" t="e">
        <f>H_ENG_QUALITY_REPAIR</f>
        <v>#NAME?</v>
      </c>
      <c r="C8" s="14"/>
      <c r="D8" s="512"/>
      <c r="E8" s="513"/>
      <c r="F8" s="513"/>
      <c r="G8" s="514"/>
      <c r="H8" s="12" t="s">
        <v>134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135</v>
      </c>
      <c r="B11" s="132" t="s">
        <v>136</v>
      </c>
      <c r="C11" s="133" t="s">
        <v>137</v>
      </c>
      <c r="D11" s="133" t="s">
        <v>138</v>
      </c>
      <c r="E11" s="133" t="s">
        <v>205</v>
      </c>
      <c r="F11" s="133" t="s">
        <v>206</v>
      </c>
      <c r="G11" s="133" t="s">
        <v>207</v>
      </c>
      <c r="H11" s="133" t="s">
        <v>208</v>
      </c>
      <c r="I11" s="133"/>
      <c r="J11" s="133" t="s">
        <v>139</v>
      </c>
    </row>
    <row r="12" spans="1:11" x14ac:dyDescent="0.2">
      <c r="B12" s="22"/>
    </row>
    <row r="13" spans="1:11" ht="14.25" x14ac:dyDescent="0.2">
      <c r="A13" s="106" t="s">
        <v>166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 t="e">
        <f>C_Engine_Configuration_1 S_maxi_continu2</f>
        <v>#NAME?</v>
      </c>
      <c r="H13" s="106" t="e">
        <f>C_Engine_Configuration_1 S_take_off2</f>
        <v>#NAME?</v>
      </c>
      <c r="I13" s="106"/>
      <c r="J13" s="106" t="e">
        <f>C_Engine_Configuration_1 S_Shut_D_oil_fuel</f>
        <v>#NAME?</v>
      </c>
    </row>
    <row r="14" spans="1:11" ht="14.25" x14ac:dyDescent="0.2">
      <c r="A14" s="106" t="s">
        <v>121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 t="e">
        <f xml:space="preserve"> VLOOKUP(C_Engine_Rating S_maxi_continu2,enum_list!A2:F102,3,1)</f>
        <v>#NAME?</v>
      </c>
      <c r="H14" s="109" t="e">
        <f xml:space="preserve"> VLOOKUP(C_Engine_Rating S_take_off2,enum_list!A2:F102,3,1)</f>
        <v>#NAME?</v>
      </c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140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 t="e">
        <f xml:space="preserve"> VLOOKUP(C_Engineer_Name S_maxi_continu2,enum_list!A2:F102,2,1)</f>
        <v>#NAME?</v>
      </c>
      <c r="H15" s="109" t="e">
        <f xml:space="preserve"> VLOOKUP(C_Engineer_Name S_take_off2,enum_list!A2:F102,2,1)</f>
        <v>#NAME?</v>
      </c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141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 t="e">
        <f xml:space="preserve"> VLOOKUP(C_Operator_Name S_maxi_continu2,enum_list!A2:G102,7,1)</f>
        <v>#NAME?</v>
      </c>
      <c r="H16" s="109" t="e">
        <f xml:space="preserve"> VLOOKUP(C_Operator_Name S_take_off2,enum_list!A2:G102,7,1)</f>
        <v>#NAME?</v>
      </c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186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 t="e">
        <f>C_DateDays S_maxi_continu2</f>
        <v>#NAME?</v>
      </c>
      <c r="H17" s="111" t="e">
        <f>C_DateDays S_take_off2</f>
        <v>#NAME?</v>
      </c>
      <c r="I17" s="111"/>
      <c r="J17" s="111" t="e">
        <f>C_DateDays S_Shut_D_oil_fuel</f>
        <v>#NAME?</v>
      </c>
    </row>
    <row r="18" spans="1:10" ht="14.25" x14ac:dyDescent="0.2">
      <c r="A18" s="106" t="s">
        <v>167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 t="e">
        <f>C_DateTime S_maxi_continu2</f>
        <v>#NAME?</v>
      </c>
      <c r="H18" s="113" t="e">
        <f>C_DateTime S_take_off2</f>
        <v>#NAME?</v>
      </c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 t="e">
        <f>C_N1R S_maxi_continu2</f>
        <v>#NAME?</v>
      </c>
      <c r="H20" s="115" t="e">
        <f>C_N1R S_take_off2</f>
        <v>#NAME?</v>
      </c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 t="e">
        <f>C_N2K S_maxi_continu2</f>
        <v>#NAME?</v>
      </c>
      <c r="H21" s="117" t="e">
        <f>C_N2K S_take_off2</f>
        <v>#NAME?</v>
      </c>
      <c r="I21" s="116"/>
      <c r="J21" s="116" t="s">
        <v>1</v>
      </c>
    </row>
    <row r="22" spans="1:10" ht="15" x14ac:dyDescent="0.2">
      <c r="A22" s="100" t="s">
        <v>16</v>
      </c>
      <c r="B22" s="108" t="s">
        <v>147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 t="e">
        <f>C_FNK S_maxi_continu2</f>
        <v>#NAME?</v>
      </c>
      <c r="H22" s="117" t="e">
        <f>C_FNK S_take_off2</f>
        <v>#NAME?</v>
      </c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114" t="e">
        <f>C_W2K S_maxi_continu2</f>
        <v>#NAME?</v>
      </c>
      <c r="H23" s="114" t="e">
        <f>C_W2K S_take_off2</f>
        <v>#NAME?</v>
      </c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7" t="e">
        <f>C_WFK S_maxi_continu2</f>
        <v>#NAME?</v>
      </c>
      <c r="H24" s="117" t="e">
        <f>C_WFK S_take_off2</f>
        <v>#NAME?</v>
      </c>
      <c r="I24" s="116"/>
      <c r="J24" s="116" t="s">
        <v>1</v>
      </c>
    </row>
    <row r="25" spans="1:10" ht="15" x14ac:dyDescent="0.2">
      <c r="A25" s="100" t="s">
        <v>6</v>
      </c>
      <c r="B25" s="108" t="s">
        <v>148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8" t="e">
        <f>C_EGTK S_maxi_continu2</f>
        <v>#NAME?</v>
      </c>
      <c r="H25" s="118" t="e">
        <f>C_EGTK S_take_off2</f>
        <v>#NAME?</v>
      </c>
      <c r="I25" s="116"/>
      <c r="J25" s="116" t="s">
        <v>1</v>
      </c>
    </row>
    <row r="26" spans="1:10" ht="15" x14ac:dyDescent="0.2">
      <c r="A26" s="100" t="s">
        <v>63</v>
      </c>
      <c r="B26" s="108" t="s">
        <v>149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 t="e">
        <f>C_SFCK S_maxi_continu2</f>
        <v>#NAME?</v>
      </c>
      <c r="H26" s="118" t="e">
        <f>C_SFCK S_take_off2</f>
        <v>#NAME?</v>
      </c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 t="s">
        <v>1</v>
      </c>
      <c r="H27" s="121" t="e">
        <f>C_FNK_TO_MAR S_take_off2</f>
        <v>#NAME?</v>
      </c>
      <c r="I27" s="116"/>
      <c r="J27" s="116" t="s">
        <v>1</v>
      </c>
    </row>
    <row r="28" spans="1:10" ht="15" x14ac:dyDescent="0.2">
      <c r="A28" s="100" t="s">
        <v>18</v>
      </c>
      <c r="B28" s="108" t="s">
        <v>147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 t="e">
        <f>C_FNKM S_maxi_continu2</f>
        <v>#NAME?</v>
      </c>
      <c r="H28" s="117" t="e">
        <f>C_FNKM S_take_off2</f>
        <v>#NAME?</v>
      </c>
      <c r="I28" s="116"/>
      <c r="J28" s="116" t="s">
        <v>1</v>
      </c>
    </row>
    <row r="29" spans="1:10" ht="15" x14ac:dyDescent="0.2">
      <c r="A29" s="100" t="s">
        <v>142</v>
      </c>
      <c r="B29" s="108" t="s">
        <v>148</v>
      </c>
      <c r="C29" s="116" t="s">
        <v>1</v>
      </c>
      <c r="D29" s="116" t="s">
        <v>1</v>
      </c>
      <c r="E29" s="118" t="e">
        <f>C_EGTKM S_maxi_continu1</f>
        <v>#NAME?</v>
      </c>
      <c r="F29" s="118" t="e">
        <f>C_EGTKM S_take_off1</f>
        <v>#NAME?</v>
      </c>
      <c r="G29" s="118" t="e">
        <f>C_EGTKM S_maxi_continu2</f>
        <v>#NAME?</v>
      </c>
      <c r="H29" s="118" t="e">
        <f>C_EGTKM S_take_off2</f>
        <v>#NAME?</v>
      </c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 t="e">
        <f>C_N2KM S_maxi_continu2</f>
        <v>#NAME?</v>
      </c>
      <c r="H30" s="117" t="e">
        <f>C_N2KM S_take_off2</f>
        <v>#NAME?</v>
      </c>
      <c r="I30" s="116"/>
      <c r="J30" s="116" t="s">
        <v>1</v>
      </c>
    </row>
    <row r="31" spans="1:10" ht="15" x14ac:dyDescent="0.2">
      <c r="A31" s="100" t="s">
        <v>306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 t="e">
        <f>C_N2R2HD S_maxi_continu2</f>
        <v>#NAME?</v>
      </c>
      <c r="H31" s="117" t="e">
        <f>C_N2R2HD S_take_off2</f>
        <v>#NAME?</v>
      </c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 t="e">
        <f>C_N2HDM S_maxi_continu2</f>
        <v>#NAME?</v>
      </c>
      <c r="H32" s="117" t="e">
        <f>C_N2HDM S_take_off2</f>
        <v>#NAME?</v>
      </c>
      <c r="I32" s="116"/>
      <c r="J32" s="116" t="s">
        <v>1</v>
      </c>
    </row>
    <row r="33" spans="1:11" ht="15" x14ac:dyDescent="0.2">
      <c r="A33" s="100" t="s">
        <v>4</v>
      </c>
      <c r="B33" s="108" t="s">
        <v>148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8" t="e">
        <f>C_EGTHD S_maxi_continu2</f>
        <v>#NAME?</v>
      </c>
      <c r="H33" s="118" t="e">
        <f>C_EGTHD S_take_off2</f>
        <v>#NAME?</v>
      </c>
      <c r="I33" s="116"/>
      <c r="J33" s="116" t="s">
        <v>1</v>
      </c>
    </row>
    <row r="34" spans="1:11" ht="15" x14ac:dyDescent="0.2">
      <c r="A34" s="100" t="s">
        <v>170</v>
      </c>
      <c r="B34" s="108" t="s">
        <v>148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8" t="e">
        <f>C_EGT_TRIM S_maxi_continu2</f>
        <v>#NAME?</v>
      </c>
      <c r="H34" s="118" t="e">
        <f>C_EGT_TRIM S_take_off2</f>
        <v>#NAME?</v>
      </c>
      <c r="I34" s="116"/>
      <c r="J34" s="116" t="s">
        <v>1</v>
      </c>
    </row>
    <row r="35" spans="1:11" ht="15" x14ac:dyDescent="0.2">
      <c r="A35" s="100" t="s">
        <v>5</v>
      </c>
      <c r="B35" s="108" t="s">
        <v>148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8" t="e">
        <f>C_EGTHDM S_maxi_continu2</f>
        <v>#NAME?</v>
      </c>
      <c r="H35" s="118" t="e">
        <f>C_EGTHDM S_take_off2</f>
        <v>#NAME?</v>
      </c>
      <c r="I35" s="116"/>
      <c r="J35" s="116" t="s">
        <v>1</v>
      </c>
    </row>
    <row r="36" spans="1:11" ht="15" x14ac:dyDescent="0.2">
      <c r="A36" s="100" t="s">
        <v>143</v>
      </c>
      <c r="B36" s="108" t="s">
        <v>148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8" t="e">
        <f>C_EGTHD_MARG S_maxi_continu2</f>
        <v>#NAME?</v>
      </c>
      <c r="H36" s="118" t="e">
        <f>C_EGTHD_MARG S_take_off2</f>
        <v>#NAME?</v>
      </c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 t="e">
        <f>C_MOPK S_maxi_continu2</f>
        <v>#NAME?</v>
      </c>
      <c r="H37" s="134" t="e">
        <f>C_MOPK S_take_off2</f>
        <v>#NAME?</v>
      </c>
      <c r="I37" s="38"/>
      <c r="J37" s="38" t="e">
        <f>C_MOPK S_Shut_D_oil_fuel</f>
        <v>#NAME?</v>
      </c>
    </row>
    <row r="38" spans="1:11" ht="15" x14ac:dyDescent="0.2">
      <c r="A38" s="100"/>
      <c r="B38" s="108"/>
      <c r="C38" s="134"/>
      <c r="D38" s="134"/>
      <c r="E38" s="38"/>
      <c r="F38" s="134"/>
      <c r="G38" s="134"/>
      <c r="H38" s="134"/>
      <c r="I38" s="38"/>
      <c r="J38" s="38"/>
    </row>
    <row r="39" spans="1:11" ht="15" x14ac:dyDescent="0.2">
      <c r="B39" s="18"/>
      <c r="C39" s="138"/>
      <c r="D39" s="138"/>
      <c r="E39" s="139"/>
      <c r="F39" s="138"/>
      <c r="G39" s="138"/>
      <c r="H39" s="138"/>
      <c r="I39" s="22" t="s">
        <v>168</v>
      </c>
      <c r="J39" s="22" t="s">
        <v>169</v>
      </c>
    </row>
    <row r="40" spans="1:11" ht="15" x14ac:dyDescent="0.2">
      <c r="A40" t="s">
        <v>211</v>
      </c>
      <c r="B40" s="124"/>
      <c r="C40" s="138"/>
      <c r="D40" s="138" t="s">
        <v>212</v>
      </c>
      <c r="E40" s="122" t="e">
        <f>C_tAcc1 S_Accel</f>
        <v>#NAME?</v>
      </c>
      <c r="F40" s="138" t="s">
        <v>189</v>
      </c>
      <c r="G40" s="138"/>
      <c r="H40" s="140" t="s">
        <v>310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F41" s="138"/>
      <c r="H41" s="37" t="s">
        <v>311</v>
      </c>
      <c r="I41" s="123" t="e">
        <f>C_Vib1N2Pk S_pic_de_vib</f>
        <v>#NAME?</v>
      </c>
      <c r="J41" s="123" t="e">
        <f>C_Vib1N2PkD S_pic_de_vib</f>
        <v>#NAME?</v>
      </c>
      <c r="K41" s="37" t="s">
        <v>314</v>
      </c>
    </row>
    <row r="42" spans="1:11" ht="15" x14ac:dyDescent="0.2">
      <c r="B42" s="125"/>
      <c r="E42" s="10"/>
      <c r="H42" s="37" t="s">
        <v>312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210</v>
      </c>
      <c r="B43" s="124"/>
      <c r="C43" t="s">
        <v>190</v>
      </c>
      <c r="D43" t="s">
        <v>144</v>
      </c>
      <c r="E43" s="39" t="e">
        <f>C_tRunning S_Shut_D_oil_fuel</f>
        <v>#NAME?</v>
      </c>
      <c r="F43" s="37" t="s">
        <v>219</v>
      </c>
      <c r="H43" s="37" t="s">
        <v>313</v>
      </c>
      <c r="I43" s="123" t="e">
        <f>C_Vib2N2Pk S_pic_de_vib</f>
        <v>#NAME?</v>
      </c>
      <c r="J43" s="123" t="e">
        <f>C_Vib2N2PkD S_pic_de_vib</f>
        <v>#NAME?</v>
      </c>
      <c r="K43" s="37" t="s">
        <v>314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213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18"/>
    </row>
    <row r="49" spans="1:11" ht="15" x14ac:dyDescent="0.2">
      <c r="A49" s="20" t="s">
        <v>217</v>
      </c>
      <c r="B49" s="97"/>
      <c r="C49" s="97"/>
      <c r="D49" s="20" t="s">
        <v>209</v>
      </c>
      <c r="E49" s="97"/>
      <c r="F49" s="98"/>
      <c r="G49" s="37"/>
      <c r="H49" s="99" t="s">
        <v>309</v>
      </c>
      <c r="I49" s="97"/>
      <c r="J49" s="97"/>
    </row>
    <row r="50" spans="1:11" s="106" customFormat="1" ht="15.75" x14ac:dyDescent="0.25">
      <c r="A50" s="131" t="s">
        <v>135</v>
      </c>
      <c r="B50" s="132" t="s">
        <v>136</v>
      </c>
      <c r="C50" s="133" t="s">
        <v>137</v>
      </c>
      <c r="D50" s="133" t="s">
        <v>138</v>
      </c>
      <c r="E50" s="133" t="s">
        <v>205</v>
      </c>
      <c r="F50" s="133" t="s">
        <v>206</v>
      </c>
      <c r="G50" s="133" t="s">
        <v>207</v>
      </c>
      <c r="H50" s="133" t="s">
        <v>208</v>
      </c>
      <c r="I50" s="133"/>
      <c r="J50" s="133" t="s">
        <v>139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132</v>
      </c>
      <c r="B52" s="130"/>
      <c r="C52" s="109" t="e">
        <f t="shared" ref="C52:J52" si="0">H_TEST_NAME</f>
        <v>#NAME?</v>
      </c>
      <c r="D52" s="109" t="e">
        <f t="shared" si="0"/>
        <v>#NAME?</v>
      </c>
      <c r="E52" s="109" t="e">
        <f t="shared" si="0"/>
        <v>#NAME?</v>
      </c>
      <c r="F52" s="109" t="e">
        <f t="shared" si="0"/>
        <v>#NAME?</v>
      </c>
      <c r="G52" s="109" t="e">
        <f t="shared" si="0"/>
        <v>#NAME?</v>
      </c>
      <c r="H52" s="109" t="e">
        <f t="shared" si="0"/>
        <v>#NAME?</v>
      </c>
      <c r="I52" s="109"/>
      <c r="J52" s="109" t="e">
        <f t="shared" si="0"/>
        <v>#NAME?</v>
      </c>
    </row>
    <row r="53" spans="1:11" ht="14.25" x14ac:dyDescent="0.2">
      <c r="A53" s="106" t="s">
        <v>127</v>
      </c>
      <c r="B53" s="130"/>
      <c r="C53" s="106" t="e">
        <f t="shared" ref="C53:J53" si="1">H_ENGINE_SERIAL_NO</f>
        <v>#NAME?</v>
      </c>
      <c r="D53" s="106" t="e">
        <f t="shared" si="1"/>
        <v>#NAME?</v>
      </c>
      <c r="E53" s="106" t="e">
        <f t="shared" si="1"/>
        <v>#NAME?</v>
      </c>
      <c r="F53" s="106" t="e">
        <f t="shared" si="1"/>
        <v>#NAME?</v>
      </c>
      <c r="G53" s="106" t="e">
        <f t="shared" si="1"/>
        <v>#NAME?</v>
      </c>
      <c r="H53" s="106" t="e">
        <f t="shared" si="1"/>
        <v>#NAME?</v>
      </c>
      <c r="I53" s="106"/>
      <c r="J53" s="106" t="e">
        <f t="shared" si="1"/>
        <v>#NAME?</v>
      </c>
    </row>
    <row r="54" spans="1:11" ht="14.25" x14ac:dyDescent="0.2">
      <c r="A54" s="106" t="s">
        <v>131</v>
      </c>
      <c r="B54" s="130" t="s">
        <v>150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 t="e">
        <f xml:space="preserve"> VLOOKUP(C_Engine_Rating S_maxi_continu2,enum_list!$A$2:$F$102,3,1)</f>
        <v>#NAME?</v>
      </c>
      <c r="H54" s="109" t="e">
        <f xml:space="preserve"> VLOOKUP(C_Engine_Rating S_take_off2,enum_list!$A$2:$F$102,3,1)</f>
        <v>#NAME?</v>
      </c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146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 t="e">
        <f>C_RHUM S_maxi_continu2</f>
        <v>#NAME?</v>
      </c>
      <c r="H56" s="127" t="e">
        <f>C_RHUM S_take_off2</f>
        <v>#NAME?</v>
      </c>
      <c r="I56" s="127"/>
      <c r="J56" s="127" t="e">
        <f>C_RHUM S_Shut_D_oil_fuel</f>
        <v>#NAME?</v>
      </c>
      <c r="K56" s="99"/>
    </row>
    <row r="57" spans="1:11" ht="14.25" x14ac:dyDescent="0.2">
      <c r="A57" s="100" t="s">
        <v>162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 t="e">
        <f>C_RHRear S_maxi_continu2</f>
        <v>#NAME?</v>
      </c>
      <c r="H57" s="127" t="e">
        <f>C_RHRear S_take_off2</f>
        <v>#NAME?</v>
      </c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145</v>
      </c>
      <c r="B58" s="108" t="s">
        <v>151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 t="e">
        <f>C_HUM S_maxi_continu2</f>
        <v>#NAME?</v>
      </c>
      <c r="H58" s="127" t="e">
        <f>C_HUM S_take_off2</f>
        <v>#NAME?</v>
      </c>
      <c r="I58" s="127"/>
      <c r="J58" s="127" t="e">
        <f>C_HUM S_Shut_D_oil_fuel</f>
        <v>#NAME?</v>
      </c>
      <c r="K58" s="99"/>
    </row>
    <row r="59" spans="1:11" ht="14.25" x14ac:dyDescent="0.2">
      <c r="A59" s="100" t="s">
        <v>224</v>
      </c>
      <c r="B59" s="108" t="s">
        <v>225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 t="e">
        <f>C_SGFuel_ S_maxi_continu2</f>
        <v>#NAME?</v>
      </c>
      <c r="H59" s="127" t="e">
        <f>C_SGFuel_ S_take_off2</f>
        <v>#NAME?</v>
      </c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 t="e">
        <f>C_N1 S_maxi_continu2</f>
        <v>#NAME?</v>
      </c>
      <c r="H60" s="101" t="e">
        <f>C_N1 S_take_off2</f>
        <v>#NAME?</v>
      </c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 t="e">
        <f>C_N2 S_maxi_continu2</f>
        <v>#NAME?</v>
      </c>
      <c r="H61" s="101" t="e">
        <f>C_N2 S_take_off2</f>
        <v>#NAME?</v>
      </c>
      <c r="I61" s="101"/>
      <c r="J61" s="101" t="e">
        <f>C_N2 S_Shut_D_oil_fuel</f>
        <v>#NAME?</v>
      </c>
      <c r="K61" s="99"/>
    </row>
    <row r="62" spans="1:11" ht="14.25" x14ac:dyDescent="0.2">
      <c r="A62" s="100" t="s">
        <v>152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 t="e">
        <f>C_FNnet S_maxi_continu2</f>
        <v>#NAME?</v>
      </c>
      <c r="H62" s="101" t="e">
        <f>C_FNnet S_take_off2</f>
        <v>#NAME?</v>
      </c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 t="e">
        <f>C_FnCorrTC1Avg S_maxi_continu2</f>
        <v>#NAME?</v>
      </c>
      <c r="H63" s="101" t="e">
        <f>C_FnCorrTC1Avg S_take_off2</f>
        <v>#NAME?</v>
      </c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 t="e">
        <f>C_FnCorrTC2Avg S_maxi_continu2</f>
        <v>#NAME?</v>
      </c>
      <c r="H64" s="101" t="e">
        <f>C_FnCorrTC2Avg S_take_off2</f>
        <v>#NAME?</v>
      </c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 t="e">
        <f>C_WF1 S_maxi_continu2</f>
        <v>#NAME?</v>
      </c>
      <c r="H65" s="101" t="e">
        <f>C_WF1 S_take_off2</f>
        <v>#NAME?</v>
      </c>
      <c r="I65" s="101"/>
      <c r="J65" s="101" t="e">
        <f>C_WF1 S_Shut_D_oil_fuel</f>
        <v>#NAME?</v>
      </c>
      <c r="K65" s="99"/>
    </row>
    <row r="66" spans="1:11" ht="14.25" x14ac:dyDescent="0.2">
      <c r="A66" s="100" t="s">
        <v>153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 t="e">
        <f>C_VSV_SEL_A S_maxi_continu2</f>
        <v>#NAME?</v>
      </c>
      <c r="H66" s="127" t="e">
        <f>C_VSV_SEL_A S_take_off2</f>
        <v>#NAME?</v>
      </c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154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 t="e">
        <f>C_VBV_SEL_A S_maxi_continu2</f>
        <v>#NAME?</v>
      </c>
      <c r="H67" s="127" t="e">
        <f>C_VBV_SEL_A S_take_off2</f>
        <v>#NAME?</v>
      </c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 t="e">
        <f>C_VIBN1PAL S_maxi_continu2</f>
        <v>#NAME?</v>
      </c>
      <c r="H68" s="127" t="e">
        <f>C_VIBN1PAL S_take_off2</f>
        <v>#NAME?</v>
      </c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 t="e">
        <f>C_VIBN1TRF S_maxi_continu2</f>
        <v>#NAME?</v>
      </c>
      <c r="H69" s="127" t="e">
        <f>C_VIBN1TRF S_take_off2</f>
        <v>#NAME?</v>
      </c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 t="e">
        <f>C_VIBN2PAL S_maxi_continu2</f>
        <v>#NAME?</v>
      </c>
      <c r="H70" s="127" t="e">
        <f>C_VIBN2PAL S_take_off2</f>
        <v>#NAME?</v>
      </c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 t="e">
        <f>C_VIBN2TRF S_maxi_continu2</f>
        <v>#NAME?</v>
      </c>
      <c r="H71" s="127" t="e">
        <f>C_VIBN2TRF S_take_off2</f>
        <v>#NAME?</v>
      </c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155</v>
      </c>
      <c r="B72" s="108" t="s">
        <v>148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 t="e">
        <f>C_TT2 S_maxi_continu2</f>
        <v>#NAME?</v>
      </c>
      <c r="H72" s="127" t="e">
        <f>C_TT2 S_take_off2</f>
        <v>#NAME?</v>
      </c>
      <c r="I72" s="127"/>
      <c r="J72" s="127" t="e">
        <f>C_TT2 S_Shut_D_oil_fuel</f>
        <v>#NAME?</v>
      </c>
      <c r="K72" s="99"/>
    </row>
    <row r="73" spans="1:11" ht="14.25" x14ac:dyDescent="0.2">
      <c r="A73" s="100" t="s">
        <v>156</v>
      </c>
      <c r="B73" s="108" t="s">
        <v>148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 t="e">
        <f>C_T25_SEL_A S_maxi_continu2</f>
        <v>#NAME?</v>
      </c>
      <c r="H73" s="127" t="e">
        <f>C_T25_SEL_A S_take_off2</f>
        <v>#NAME?</v>
      </c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157</v>
      </c>
      <c r="B74" s="108" t="s">
        <v>148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 t="e">
        <f>C_T3_SEL_A S_maxi_continu2</f>
        <v>#NAME?</v>
      </c>
      <c r="H74" s="127" t="e">
        <f>C_T3_SEL_A S_take_off2</f>
        <v>#NAME?</v>
      </c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158</v>
      </c>
      <c r="B75" s="108" t="s">
        <v>148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 t="e">
        <f>C_T495_SEL_A S_maxi_continu2</f>
        <v>#NAME?</v>
      </c>
      <c r="H75" s="127" t="e">
        <f>C_T495_SEL_A S_take_off2</f>
        <v>#NAME?</v>
      </c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122</v>
      </c>
      <c r="B76" s="108" t="s">
        <v>148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 t="e">
        <f>IF(C_T54 S_maxi_continu2&lt;C_T5_SEL_A S_maxi_continu2,"N/A",C_T54 S_maxi_continu2)</f>
        <v>#NAME?</v>
      </c>
      <c r="H76" s="127" t="e">
        <f>IF(C_T54 S_take_off2&lt;C_T5_SEL_A S_take_off2,"N/A",C_T54 S_take_off2)</f>
        <v>#NAME?</v>
      </c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174</v>
      </c>
      <c r="B77" s="108" t="s">
        <v>148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 t="e">
        <f>IF(C_T54 S_maxi_continu2&lt;C_T5_SEL_A S_maxi_continu2,C_T5_SEL_A S_maxi_continu2,"N/A")</f>
        <v>#NAME?</v>
      </c>
      <c r="H77" s="127" t="e">
        <f>IF(C_T54 S_take_off2&lt;C_T5_SEL_A S_take_off2,C_T5_SEL_A S_take_off2,"N/A")</f>
        <v>#NAME?</v>
      </c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148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 t="e">
        <f>C_MOT S_maxi_continu2</f>
        <v>#NAME?</v>
      </c>
      <c r="H78" s="127" t="e">
        <f>C_MOT S_take_off2</f>
        <v>#NAME?</v>
      </c>
      <c r="I78" s="127"/>
      <c r="J78" s="127" t="e">
        <f>C_MOT S_Shut_D_oil_fuel</f>
        <v>#NAME?</v>
      </c>
      <c r="K78" s="99"/>
    </row>
    <row r="79" spans="1:11" ht="14.25" x14ac:dyDescent="0.2">
      <c r="A79" s="100" t="s">
        <v>159</v>
      </c>
      <c r="B79" s="108" t="s">
        <v>148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 t="e">
        <f>C_T_Soil S_maxi_continu2</f>
        <v>#NAME?</v>
      </c>
      <c r="H79" s="127" t="e">
        <f>C_T_Soil S_take_off2</f>
        <v>#NAME?</v>
      </c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226</v>
      </c>
      <c r="B80" s="108" t="s">
        <v>148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 t="e">
        <f>C_T_Fuel_Fac S_maxi_continu2</f>
        <v>#NAME?</v>
      </c>
      <c r="H80" s="127" t="e">
        <f>C_T_Fuel_Fac S_take_off2</f>
        <v>#NAME?</v>
      </c>
      <c r="I80" s="127"/>
      <c r="J80" s="127" t="e">
        <f>C_T_Fuel_Fac S_Shut_D_oil_fuel</f>
        <v>#NAME?</v>
      </c>
      <c r="K80" s="99"/>
    </row>
    <row r="81" spans="1:246" ht="14.25" x14ac:dyDescent="0.2">
      <c r="A81" s="100" t="s">
        <v>160</v>
      </c>
      <c r="B81" s="108" t="s">
        <v>148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 t="e">
        <f>C_T_FWD_ADAPT S_maxi_continu2</f>
        <v>#NAME?</v>
      </c>
      <c r="H81" s="127" t="e">
        <f>C_T_FWD_ADAPT S_take_off2</f>
        <v>#NAME?</v>
      </c>
      <c r="I81" s="127"/>
      <c r="J81" s="127" t="e">
        <f>C_T_FWD_ADAPT S_Shut_D_oil_fuel</f>
        <v>#NAME?</v>
      </c>
      <c r="K81" s="99"/>
    </row>
    <row r="82" spans="1:246" ht="14.25" x14ac:dyDescent="0.2">
      <c r="A82" s="100" t="s">
        <v>161</v>
      </c>
      <c r="B82" s="108" t="s">
        <v>148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 t="e">
        <f>C_T_AFT_ADAPT S_maxi_continu2</f>
        <v>#NAME?</v>
      </c>
      <c r="H82" s="127" t="e">
        <f>C_T_AFT_ADAPT S_take_off2</f>
        <v>#NAME?</v>
      </c>
      <c r="I82" s="127"/>
      <c r="J82" s="127" t="e">
        <f>C_T_AFT_ADAPT S_Shut_D_oil_fuel</f>
        <v>#NAME?</v>
      </c>
      <c r="K82" s="99"/>
    </row>
    <row r="83" spans="1:246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 t="e">
        <f>C_PAMB1 S_maxi_continu2</f>
        <v>#NAME?</v>
      </c>
      <c r="H83" s="128" t="e">
        <f>C_PAMB1 S_take_off2</f>
        <v>#NAME?</v>
      </c>
      <c r="I83" s="128"/>
      <c r="J83" s="128" t="e">
        <f>C_PAMB1 S_Shut_D_oil_fuel</f>
        <v>#NAME?</v>
      </c>
      <c r="K83" s="107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 t="e">
        <f>C_PAMB2 S_maxi_continu2</f>
        <v>#NAME?</v>
      </c>
      <c r="H84" s="128" t="e">
        <f>C_PAMB2 S_take_off2</f>
        <v>#NAME?</v>
      </c>
      <c r="I84" s="128"/>
      <c r="J84" s="128" t="e">
        <f>C_PAMB2 S_Shut_D_oil_fuel</f>
        <v>#NAME?</v>
      </c>
      <c r="K84" s="99"/>
    </row>
    <row r="85" spans="1:246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 t="e">
        <f>C_P_Cell_Front S_maxi_continu2</f>
        <v>#NAME?</v>
      </c>
      <c r="H85" s="128" t="e">
        <f>C_P_Cell_Front S_take_off2</f>
        <v>#NAME?</v>
      </c>
      <c r="I85" s="128"/>
      <c r="J85" s="128" t="e">
        <f>C_P_Cell_Front S_Shut_D_oil_fuel</f>
        <v>#NAME?</v>
      </c>
      <c r="K85" s="99"/>
    </row>
    <row r="86" spans="1:246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 t="e">
        <f>C_P_Cell_Rear S_maxi_continu2</f>
        <v>#NAME?</v>
      </c>
      <c r="H86" s="128" t="e">
        <f>C_P_Cell_Rear S_take_off2</f>
        <v>#NAME?</v>
      </c>
      <c r="I86" s="128"/>
      <c r="J86" s="128" t="e">
        <f>C_P_Cell_Rear S_Shut_D_oil_fuel</f>
        <v>#NAME?</v>
      </c>
      <c r="K86" s="99"/>
    </row>
    <row r="87" spans="1:246" ht="14.25" x14ac:dyDescent="0.2">
      <c r="A87" s="100" t="s">
        <v>173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 t="e">
        <f>C_PT2_CAL S_maxi_continu2</f>
        <v>#NAME?</v>
      </c>
      <c r="H87" s="128" t="e">
        <f>C_PT2_CAL S_take_off2</f>
        <v>#NAME?</v>
      </c>
      <c r="I87" s="128"/>
      <c r="J87" s="128" t="s">
        <v>1</v>
      </c>
      <c r="K87" s="99"/>
    </row>
    <row r="88" spans="1:246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 t="e">
        <f>C_PS2W S_maxi_continu2</f>
        <v>#NAME?</v>
      </c>
      <c r="H88" s="128" t="e">
        <f>C_PS2W S_take_off2</f>
        <v>#NAME?</v>
      </c>
      <c r="I88" s="128"/>
      <c r="J88" s="128" t="e">
        <f>C_PS2W S_Shut_D_oil_fuel</f>
        <v>#NAME?</v>
      </c>
      <c r="K88" s="99"/>
    </row>
    <row r="89" spans="1:246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 t="e">
        <f>C_PS2W1 S_maxi_continu2</f>
        <v>#NAME?</v>
      </c>
      <c r="H89" s="128" t="e">
        <f>C_PS2W1 S_take_off2</f>
        <v>#NAME?</v>
      </c>
      <c r="I89" s="128"/>
      <c r="J89" s="128" t="e">
        <f>C_PS2W1 S_Shut_D_oil_fuel</f>
        <v>#NAME?</v>
      </c>
      <c r="K89" s="99"/>
    </row>
    <row r="90" spans="1:246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 t="e">
        <f>C_PS2W2 S_maxi_continu2</f>
        <v>#NAME?</v>
      </c>
      <c r="H90" s="128" t="e">
        <f>C_PS2W2 S_take_off2</f>
        <v>#NAME?</v>
      </c>
      <c r="I90" s="128"/>
      <c r="J90" s="128" t="e">
        <f>C_PS2W2 S_Shut_D_oil_fuel</f>
        <v>#NAME?</v>
      </c>
      <c r="K90" s="99"/>
    </row>
    <row r="91" spans="1:246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 t="e">
        <f>C_PS2W3 S_maxi_continu2</f>
        <v>#NAME?</v>
      </c>
      <c r="H91" s="128" t="e">
        <f>C_PS2W3 S_take_off2</f>
        <v>#NAME?</v>
      </c>
      <c r="I91" s="128"/>
      <c r="J91" s="128" t="e">
        <f>C_PS2W3 S_Shut_D_oil_fuel</f>
        <v>#NAME?</v>
      </c>
      <c r="K91" s="99"/>
    </row>
    <row r="92" spans="1:246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 t="e">
        <f>C_PS2W4 S_maxi_continu2</f>
        <v>#NAME?</v>
      </c>
      <c r="H92" s="128" t="e">
        <f>C_PS2W4 S_take_off2</f>
        <v>#NAME?</v>
      </c>
      <c r="I92" s="128"/>
      <c r="J92" s="128" t="e">
        <f>C_PS2W4 S_Shut_D_oil_fuel</f>
        <v>#NAME?</v>
      </c>
      <c r="K92" s="99"/>
    </row>
    <row r="93" spans="1:246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 t="e">
        <f>IF(C_PS13_ECU S_maxi_continu2&gt;C_PS13 S_maxi_continu2,"N/A",C_PS13 S_maxi_continu2)</f>
        <v>#NAME?</v>
      </c>
      <c r="H93" s="128" t="e">
        <f>IF(C_PS13_ECU S_take_off2&gt;C_PS13 S_take_off2,"N/A",C_PS13 S_take_off2)</f>
        <v>#NAME?</v>
      </c>
      <c r="I93" s="128"/>
      <c r="J93" s="128" t="e">
        <f>IF(C_PS13_ECU S_Shut_D_oil_fuel&gt;C_PS13 S_Shut_D_oil_fuel,"N/A",C_PS13 S_Shut_D_oil_fuel)</f>
        <v>#NAME?</v>
      </c>
      <c r="K93" s="99"/>
    </row>
    <row r="94" spans="1:246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 t="e">
        <f>IF(C_PS13_ECU S_maxi_continu2&gt;C_PS13 S_maxi_continu2,C_PS13_ECU S_maxi_continu2,"N/A")</f>
        <v>#NAME?</v>
      </c>
      <c r="H94" s="128" t="e">
        <f>IF(C_PS13_ECU S_take_off2&gt;C_PS13 S_take_off2,C_PS13_ECU S_take_off2,"N/A")</f>
        <v>#NAME?</v>
      </c>
      <c r="I94" s="128"/>
      <c r="J94" s="128" t="e">
        <f>IF(C_PS13_ECU S_Shut_D_oil_fuel&gt;C_PS13 S_Shut_D_oil_fuel,C_PS13_ECU S_Shut_D_oil_fuel,"N/A")</f>
        <v>#NAME?</v>
      </c>
      <c r="K94" s="99"/>
    </row>
    <row r="95" spans="1:246" ht="14.25" x14ac:dyDescent="0.2">
      <c r="A95" s="100" t="s">
        <v>223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 t="e">
        <f>IF(C_P25_ECU S_maxi_continu2&lt;15,"N/A",C_P25_ECU S_maxi_continu2)</f>
        <v>#NAME?</v>
      </c>
      <c r="H95" s="128" t="e">
        <f>IF(C_P25_ECU S_take_off2&lt;15,"N/A",C_P25_ECU S_take_off2)</f>
        <v>#NAME?</v>
      </c>
      <c r="I95" s="128"/>
      <c r="J95" s="128" t="e">
        <f>IF(C_P25_ECU S_Shut_D_oil_fuel&lt;15,"N/A",C_P25_ECU S_Shut_D_oil_fuel)</f>
        <v>#NAME?</v>
      </c>
      <c r="K95" s="99"/>
    </row>
    <row r="96" spans="1:246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 t="e">
        <f>C_PT17 S_maxi_continu2</f>
        <v>#NAME?</v>
      </c>
      <c r="H96" s="128" t="e">
        <f>C_PT17 S_take_off2</f>
        <v>#NAME?</v>
      </c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 t="e">
        <f>C_PT17_1 S_maxi_continu2</f>
        <v>#NAME?</v>
      </c>
      <c r="H97" s="128" t="e">
        <f>C_PT17_1 S_take_off2</f>
        <v>#NAME?</v>
      </c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 t="e">
        <f>C_PT17_2 S_maxi_continu2</f>
        <v>#NAME?</v>
      </c>
      <c r="H98" s="128" t="e">
        <f>C_PT17_2 S_take_off2</f>
        <v>#NAME?</v>
      </c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 t="e">
        <f>C_PT25 S_maxi_continu2</f>
        <v>#NAME?</v>
      </c>
      <c r="H99" s="128" t="e">
        <f>C_PT25 S_take_off2</f>
        <v>#NAME?</v>
      </c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 t="e">
        <f>C_PS3_SEL_A S_maxi_continu2</f>
        <v>#NAME?</v>
      </c>
      <c r="H100" s="129" t="e">
        <f>C_PS3_SEL_A S_take_off2</f>
        <v>#NAME?</v>
      </c>
      <c r="I100" s="129"/>
      <c r="J100" s="129" t="e">
        <f>C_PS3_SEL_A S_Shut_D_oil_fuel</f>
        <v>#NAME?</v>
      </c>
    </row>
    <row r="101" spans="1:11" s="106" customFormat="1" ht="15.75" x14ac:dyDescent="0.25">
      <c r="A101" s="131" t="s">
        <v>135</v>
      </c>
      <c r="B101" s="132" t="s">
        <v>136</v>
      </c>
      <c r="C101" s="133" t="s">
        <v>137</v>
      </c>
      <c r="D101" s="133" t="s">
        <v>138</v>
      </c>
      <c r="E101" s="133" t="s">
        <v>205</v>
      </c>
      <c r="F101" s="133" t="s">
        <v>206</v>
      </c>
      <c r="G101" s="133" t="s">
        <v>207</v>
      </c>
      <c r="H101" s="133" t="s">
        <v>208</v>
      </c>
      <c r="I101" s="133"/>
      <c r="J101" s="133" t="s">
        <v>139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132</v>
      </c>
      <c r="B103" s="130"/>
      <c r="C103" s="109" t="e">
        <f t="shared" ref="C103:J103" si="2">H_TEST_NAME</f>
        <v>#NAME?</v>
      </c>
      <c r="D103" s="109" t="e">
        <f t="shared" si="2"/>
        <v>#NAME?</v>
      </c>
      <c r="E103" s="109" t="e">
        <f t="shared" si="2"/>
        <v>#NAME?</v>
      </c>
      <c r="F103" s="109" t="e">
        <f t="shared" si="2"/>
        <v>#NAME?</v>
      </c>
      <c r="G103" s="109" t="e">
        <f t="shared" si="2"/>
        <v>#NAME?</v>
      </c>
      <c r="H103" s="109" t="e">
        <f t="shared" si="2"/>
        <v>#NAME?</v>
      </c>
      <c r="I103" s="109"/>
      <c r="J103" s="109" t="e">
        <f t="shared" si="2"/>
        <v>#NAME?</v>
      </c>
    </row>
    <row r="104" spans="1:11" s="37" customFormat="1" ht="14.25" x14ac:dyDescent="0.2">
      <c r="A104" s="106" t="s">
        <v>127</v>
      </c>
      <c r="B104" s="130"/>
      <c r="C104" s="106" t="e">
        <f t="shared" ref="C104:J104" si="3">H_ENGINE_SERIAL_NO</f>
        <v>#NAME?</v>
      </c>
      <c r="D104" s="106" t="e">
        <f t="shared" si="3"/>
        <v>#NAME?</v>
      </c>
      <c r="E104" s="106" t="e">
        <f t="shared" si="3"/>
        <v>#NAME?</v>
      </c>
      <c r="F104" s="106" t="e">
        <f t="shared" si="3"/>
        <v>#NAME?</v>
      </c>
      <c r="G104" s="106" t="e">
        <f t="shared" si="3"/>
        <v>#NAME?</v>
      </c>
      <c r="H104" s="106" t="e">
        <f t="shared" si="3"/>
        <v>#NAME?</v>
      </c>
      <c r="I104" s="106"/>
      <c r="J104" s="106" t="e">
        <f t="shared" si="3"/>
        <v>#NAME?</v>
      </c>
    </row>
    <row r="105" spans="1:11" s="37" customFormat="1" ht="14.25" x14ac:dyDescent="0.2">
      <c r="A105" s="106" t="s">
        <v>131</v>
      </c>
      <c r="B105" s="130" t="s">
        <v>150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 t="e">
        <f xml:space="preserve"> VLOOKUP(C_Engine_Rating S_maxi_continu2,enum_list!$A$2:$F$102,3,1)</f>
        <v>#NAME?</v>
      </c>
      <c r="H105" s="109" t="e">
        <f xml:space="preserve"> VLOOKUP(C_Engine_Rating S_take_off2,enum_list!$A$2:$F$102,3,1)</f>
        <v>#NAME?</v>
      </c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187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 t="e">
        <f>C_PS3R_SEL S_maxi_continu2</f>
        <v>#NAME?</v>
      </c>
      <c r="H107" s="128" t="e">
        <f>C_PS3R_SEL S_take_off2</f>
        <v>#NAME?</v>
      </c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 t="e">
        <f>C_PT495 S_maxi_continu2</f>
        <v>#NAME?</v>
      </c>
      <c r="H108" s="129" t="e">
        <f>C_PT495 S_take_off2</f>
        <v>#NAME?</v>
      </c>
      <c r="I108" s="129"/>
      <c r="J108" s="129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 t="e">
        <f>C_PT54 S_maxi_continu2</f>
        <v>#NAME?</v>
      </c>
      <c r="H109" s="129" t="e">
        <f>C_PT54 S_take_off2</f>
        <v>#NAME?</v>
      </c>
      <c r="I109" s="129"/>
      <c r="J109" s="129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 t="e">
        <f>C_MOP S_maxi_continu2</f>
        <v>#NAME?</v>
      </c>
      <c r="H110" s="129" t="e">
        <f>C_MOP S_take_off2</f>
        <v>#NAME?</v>
      </c>
      <c r="I110" s="129"/>
      <c r="J110" s="129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 t="e">
        <f>C_P_Sop_Diff S_maxi_continu2</f>
        <v>#NAME?</v>
      </c>
      <c r="H111" s="129" t="e">
        <f>C_P_Sop_Diff S_take_off2</f>
        <v>#NAME?</v>
      </c>
      <c r="I111" s="129"/>
      <c r="J111" s="129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 t="e">
        <f>C_P_Sump S_maxi_continu2</f>
        <v>#NAME?</v>
      </c>
      <c r="H112" s="129" t="e">
        <f>C_P_Sump S_take_off2</f>
        <v>#NAME?</v>
      </c>
      <c r="I112" s="129"/>
      <c r="J112" s="129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 t="e">
        <f>C_P_Fuel S_maxi_continu2</f>
        <v>#NAME?</v>
      </c>
      <c r="H113" s="129" t="e">
        <f>C_P_Fuel S_take_off2</f>
        <v>#NAME?</v>
      </c>
      <c r="I113" s="129"/>
      <c r="J113" s="129" t="e">
        <f>C_P_Fuel S_Shut_D_oil_fuel</f>
        <v>#NAME?</v>
      </c>
      <c r="K113" s="106"/>
    </row>
    <row r="114" spans="1:11" ht="14.25" x14ac:dyDescent="0.2">
      <c r="A114" s="100" t="s">
        <v>171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 t="e">
        <f>C_TLA_SEL_A S_maxi_continu2</f>
        <v>#NAME?</v>
      </c>
      <c r="H114" s="103" t="e">
        <f>C_TLA_SEL_A S_take_off2</f>
        <v>#NAME?</v>
      </c>
      <c r="I114" s="103"/>
      <c r="J114" s="103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 t="e">
        <f>C_FMV_SEL_A S_maxi_continu2</f>
        <v>#NAME?</v>
      </c>
      <c r="H115" s="103" t="e">
        <f>C_FMV_SEL_A S_take_off2</f>
        <v>#NAME?</v>
      </c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 t="e">
        <f>C_HPTC_SEL_A S_maxi_continu2</f>
        <v>#NAME?</v>
      </c>
      <c r="H116" s="103" t="e">
        <f>C_HPTC_SEL_A S_take_off2</f>
        <v>#NAME?</v>
      </c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 t="e">
        <f>C_LPTC_SEL_A S_maxi_continu2</f>
        <v>#NAME?</v>
      </c>
      <c r="H117" s="103" t="e">
        <f>C_LPTC_SEL_A S_take_off2</f>
        <v>#NAME?</v>
      </c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303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 t="e">
        <f>C_RAC_SEL S_maxi_continu2</f>
        <v>#NAME?</v>
      </c>
      <c r="H118" s="103" t="e">
        <f>C_RAC_SEL S_take_off2</f>
        <v>#NAME?</v>
      </c>
      <c r="I118" s="103"/>
      <c r="J118" s="103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 t="e">
        <f>C_N1R S_maxi_continu2</f>
        <v>#NAME?</v>
      </c>
      <c r="H119" s="136" t="e">
        <f>C_N1R S_take_off2</f>
        <v>#NAME?</v>
      </c>
      <c r="I119" s="136"/>
      <c r="J119" s="136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 t="e">
        <f>C_N2K S_maxi_continu2</f>
        <v>#NAME?</v>
      </c>
      <c r="H120" s="102" t="e">
        <f>C_N2K S_take_off2</f>
        <v>#NAME?</v>
      </c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147</v>
      </c>
      <c r="C121" s="105" t="s">
        <v>1</v>
      </c>
      <c r="D121" s="105" t="s">
        <v>1</v>
      </c>
      <c r="E121" s="102" t="e">
        <f>C_FNK S_maxi_continu1</f>
        <v>#NAME?</v>
      </c>
      <c r="F121" s="102" t="e">
        <f>C_FNK S_take_off1</f>
        <v>#NAME?</v>
      </c>
      <c r="G121" s="102" t="e">
        <f>C_FNK S_maxi_continu2</f>
        <v>#NAME?</v>
      </c>
      <c r="H121" s="102" t="e">
        <f>C_FNK S_take_off2</f>
        <v>#NAME?</v>
      </c>
      <c r="I121" s="105"/>
      <c r="J121" s="105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 t="e">
        <f>C_WFK S_maxi_continu2</f>
        <v>#NAME?</v>
      </c>
      <c r="H122" s="102" t="e">
        <f>C_WFK S_take_off2</f>
        <v>#NAME?</v>
      </c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148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 t="e">
        <f>C_EGTK S_maxi_continu2</f>
        <v>#NAME?</v>
      </c>
      <c r="H123" s="104" t="e">
        <f>C_EGTK S_take_off2</f>
        <v>#NAME?</v>
      </c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149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 t="e">
        <f>C_SFCK S_maxi_continu2</f>
        <v>#NAME?</v>
      </c>
      <c r="H124" s="104" t="e">
        <f>C_SFCK S_take_off2</f>
        <v>#NAME?</v>
      </c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 t="e">
        <f>C_MOPK S_maxi_continu2</f>
        <v>#NAME?</v>
      </c>
      <c r="H125" s="129" t="e">
        <f>C_MOPK S_take_off2</f>
        <v>#NAME?</v>
      </c>
      <c r="I125" s="129"/>
      <c r="J125" s="129" t="e">
        <f>C_MOPK S_Shut_D_oil_fuel</f>
        <v>#NAME?</v>
      </c>
      <c r="K125" s="106"/>
    </row>
    <row r="126" spans="1:11" ht="14.25" x14ac:dyDescent="0.2">
      <c r="A126" s="100" t="s">
        <v>163</v>
      </c>
      <c r="B126" s="108" t="s">
        <v>164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 t="e">
        <f>C_TT2_F S_maxi_continu2</f>
        <v>#NAME?</v>
      </c>
      <c r="H126" s="103" t="e">
        <f>C_TT2_F S_take_off2</f>
        <v>#NAME?</v>
      </c>
      <c r="I126" s="103"/>
      <c r="J126" s="103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 t="e">
        <f>C_N2R25 S_maxi_continu2</f>
        <v>#NAME?</v>
      </c>
      <c r="H127" s="136" t="e">
        <f>C_N2R25 S_take_off2</f>
        <v>#NAME?</v>
      </c>
      <c r="I127" s="136"/>
      <c r="J127" s="136" t="e">
        <f>C_N2R25 S_Shut_D_oil_fuel</f>
        <v>#NAME?</v>
      </c>
      <c r="K127" s="106"/>
    </row>
    <row r="128" spans="1:11" ht="14.25" x14ac:dyDescent="0.2">
      <c r="A128" s="100" t="s">
        <v>188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 t="s">
        <v>1</v>
      </c>
      <c r="H128" s="129" t="e">
        <f>C_FNK_TO_MAR S_take_off2</f>
        <v>#NAME?</v>
      </c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149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 t="e">
        <f>C_SFCRF S_maxi_continu2</f>
        <v>#NAME?</v>
      </c>
      <c r="H129" s="103" t="e">
        <f>C_SFCRF S_take_off2</f>
        <v>#NAME?</v>
      </c>
      <c r="I129" s="103"/>
      <c r="J129" s="103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301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 t="e">
        <f>C_W2K S_maxi_continu2</f>
        <v>#NAME?</v>
      </c>
      <c r="H130" s="103" t="e">
        <f>C_W2K S_take_off2</f>
        <v>#NAME?</v>
      </c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165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 t="e">
        <f>C_CTR S_maxi_continu2</f>
        <v>#NAME?</v>
      </c>
      <c r="H131" s="103" t="e">
        <f>C_CTR S_take_off2</f>
        <v>#NAME?</v>
      </c>
      <c r="I131" s="103"/>
      <c r="J131" s="103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147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2" t="e">
        <f>C_FNKM S_maxi_continu2</f>
        <v>#NAME?</v>
      </c>
      <c r="H132" s="102" t="e">
        <f>C_FNKM S_take_off2</f>
        <v>#NAME?</v>
      </c>
      <c r="I132" s="105"/>
      <c r="J132" s="105" t="s">
        <v>1</v>
      </c>
      <c r="K132" s="106"/>
    </row>
    <row r="133" spans="1:11" ht="14.25" x14ac:dyDescent="0.2">
      <c r="A133" s="100" t="s">
        <v>142</v>
      </c>
      <c r="B133" s="108" t="s">
        <v>148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 t="e">
        <f>C_EGTKM S_maxi_continu2</f>
        <v>#NAME?</v>
      </c>
      <c r="H133" s="104" t="e">
        <f>C_EGTKM S_take_off2</f>
        <v>#NAME?</v>
      </c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05" t="s">
        <v>1</v>
      </c>
      <c r="D134" s="105" t="s">
        <v>1</v>
      </c>
      <c r="E134" s="102" t="e">
        <f>C_N2KM S_maxi_continu1</f>
        <v>#NAME?</v>
      </c>
      <c r="F134" s="102" t="e">
        <f>C_N2KM S_take_off1</f>
        <v>#NAME?</v>
      </c>
      <c r="G134" s="102" t="e">
        <f>C_N2KM S_maxi_continu2</f>
        <v>#NAME?</v>
      </c>
      <c r="H134" s="102" t="e">
        <f>C_N2KM S_take_off2</f>
        <v>#NAME?</v>
      </c>
      <c r="I134" s="105"/>
      <c r="J134" s="105" t="s">
        <v>1</v>
      </c>
      <c r="K134" s="106"/>
    </row>
    <row r="135" spans="1:11" ht="14.25" x14ac:dyDescent="0.2">
      <c r="A135" s="100" t="s">
        <v>172</v>
      </c>
      <c r="B135" s="108" t="s">
        <v>30</v>
      </c>
      <c r="C135" s="105" t="s">
        <v>1</v>
      </c>
      <c r="D135" s="105" t="s">
        <v>1</v>
      </c>
      <c r="E135" s="102" t="e">
        <f>C_N2R2HD S_maxi_continu1</f>
        <v>#NAME?</v>
      </c>
      <c r="F135" s="102" t="e">
        <f>C_N2R2HD S_take_off1</f>
        <v>#NAME?</v>
      </c>
      <c r="G135" s="102" t="e">
        <f>C_N2R2HD S_maxi_continu2</f>
        <v>#NAME?</v>
      </c>
      <c r="H135" s="102" t="e">
        <f>C_N2R2HD S_take_off2</f>
        <v>#NAME?</v>
      </c>
      <c r="I135" s="105"/>
      <c r="J135" s="105" t="s">
        <v>1</v>
      </c>
      <c r="K135" s="106"/>
    </row>
    <row r="136" spans="1:11" ht="14.25" x14ac:dyDescent="0.2">
      <c r="A136" s="100" t="s">
        <v>4</v>
      </c>
      <c r="B136" s="108" t="s">
        <v>148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 t="e">
        <f>C_EGTHD S_maxi_continu2</f>
        <v>#NAME?</v>
      </c>
      <c r="H136" s="104" t="e">
        <f>C_EGTHD S_take_off2</f>
        <v>#NAME?</v>
      </c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05" t="s">
        <v>1</v>
      </c>
      <c r="D137" s="105" t="s">
        <v>1</v>
      </c>
      <c r="E137" s="102" t="e">
        <f>C_N2HDM S_maxi_continu1</f>
        <v>#NAME?</v>
      </c>
      <c r="F137" s="102" t="e">
        <f>C_N2HDM S_take_off1</f>
        <v>#NAME?</v>
      </c>
      <c r="G137" s="102" t="e">
        <f>C_N2HDM S_maxi_continu2</f>
        <v>#NAME?</v>
      </c>
      <c r="H137" s="102" t="e">
        <f>C_N2HDM S_take_off2</f>
        <v>#NAME?</v>
      </c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148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 t="e">
        <f>C_EGTHDM S_maxi_continu2</f>
        <v>#NAME?</v>
      </c>
      <c r="H138" s="104" t="e">
        <f>C_EGTHDM S_take_off2</f>
        <v>#NAME?</v>
      </c>
      <c r="I138" s="105"/>
      <c r="J138" s="105" t="s">
        <v>1</v>
      </c>
      <c r="K138" s="106"/>
    </row>
    <row r="139" spans="1:11" ht="14.25" x14ac:dyDescent="0.2">
      <c r="A139" s="100" t="s">
        <v>143</v>
      </c>
      <c r="B139" s="108" t="s">
        <v>148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 t="e">
        <f>C_EGTHD_MARG S_maxi_continu2</f>
        <v>#NAME?</v>
      </c>
      <c r="H139" s="104" t="e">
        <f>C_EGTHD_MARG S_take_off2</f>
        <v>#NAME?</v>
      </c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5" priority="4" stopIfTrue="1">
      <formula>LEN(TRIM(B40))=0</formula>
    </cfRule>
  </conditionalFormatting>
  <conditionalFormatting sqref="B43">
    <cfRule type="containsBlanks" dxfId="454" priority="3" stopIfTrue="1">
      <formula>LEN(TRIM(B43))=0</formula>
    </cfRule>
  </conditionalFormatting>
  <conditionalFormatting sqref="B46">
    <cfRule type="containsBlanks" dxfId="453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C2B-D0FF-435C-8EAD-EA3823CADC4F}">
  <sheetPr>
    <tabColor rgb="FFFFC000"/>
  </sheetPr>
  <dimension ref="A1:R66"/>
  <sheetViews>
    <sheetView zoomScaleNormal="100" workbookViewId="0">
      <selection activeCell="K20" sqref="K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503" t="s">
        <v>234</v>
      </c>
      <c r="B9" s="500"/>
      <c r="C9" s="553" t="e">
        <f xml:space="preserve"> VLOOKUP(C_Engine_Rating S_Take_Off,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503" t="s">
        <v>236</v>
      </c>
      <c r="B10" s="500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501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502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S_Take_Off,C_EGTHDLimTO S_Take_Off,"")</f>
        <v>#NAME?</v>
      </c>
      <c r="J19" s="579"/>
      <c r="K19" s="78" t="e" cm="1">
        <f t="array" ref="K19">IF(C_N2HDLim_TO S_Take_Off,C_N2HDLim_TO S_Take_Off,"")</f>
        <v>#NAME?</v>
      </c>
    </row>
    <row r="20" spans="1:18" ht="14.25" x14ac:dyDescent="0.2">
      <c r="A20" s="90"/>
      <c r="B20" s="580" t="e" cm="1">
        <f t="array" ref="B20">IF(C_THD S_Take_Off,C_THD S_Take_Off,"")</f>
        <v>#NAME?</v>
      </c>
      <c r="C20" s="269" t="s">
        <v>255</v>
      </c>
      <c r="D20" s="450" t="e" cm="1">
        <f t="array" ref="D20">IF(C_FNK3M S_Take_Off,C_FNK3M S_Take_Off,"")</f>
        <v>#NAME?</v>
      </c>
      <c r="E20" s="322" t="e" cm="1">
        <f t="array" ref="E20">IF(C_EGTK3M S_Take_Off,C_EGTK3M S_Take_Off,"")</f>
        <v>#NAME?</v>
      </c>
      <c r="F20" s="56" t="e" cm="1">
        <f t="array" ref="F20">IF(C_N2K3M S_Take_Off,C_N2K3M S_Take_Off,"")</f>
        <v>#NAME?</v>
      </c>
      <c r="G20" s="56" t="e" cm="1">
        <f t="array" ref="G20">IF(C_WFK3M S_Take_Off,C_WFK3M S_Take_Off,"")</f>
        <v>#NAME?</v>
      </c>
      <c r="H20" s="322" t="e" cm="1">
        <f t="array" ref="H20">IF(C_SFCK3 S_Take_Off,C_SFCK3 S_Take_Off,"")</f>
        <v>#NAME?</v>
      </c>
      <c r="I20" s="582" t="e" cm="1">
        <f t="array" ref="I20">IF(C_EGTHDM S_Take_Off,C_EGTHDM S_Take_Off,"")</f>
        <v>#NAME?</v>
      </c>
      <c r="J20" s="583"/>
      <c r="K20" s="93" t="e" cm="1">
        <f t="array" ref="K20">IF(C_N2R2HDM S_Take_Off,C_N2R2HDM S_Take_Off,"")</f>
        <v>#NAME?</v>
      </c>
    </row>
    <row r="21" spans="1:18" ht="14.25" x14ac:dyDescent="0.2">
      <c r="A21" s="584" t="e" cm="1">
        <f t="array" ref="A21">IF(C_N1KRatedTO S_Take_Off,C_N1KRatedTO S_Take_Off,"")</f>
        <v>#NAME?</v>
      </c>
      <c r="B21" s="580"/>
      <c r="C21" s="269" t="s">
        <v>256</v>
      </c>
      <c r="D21" s="450" t="e" cm="1">
        <f t="array" ref="D21">IF(C_FNKRatedTO S_Take_Off,C_FNKRatedTO S_Take_Off,"")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S_Take_Off,C_FNMrgPC S_Take_Off,"")</f>
        <v>#NAME?</v>
      </c>
      <c r="E22" s="587"/>
      <c r="F22" s="587"/>
      <c r="G22" s="587"/>
      <c r="H22" s="587"/>
      <c r="I22" s="466" t="e" cm="1">
        <f t="array" ref="I22">IF(C_EGTHDMMrg S_Take_Off,C_EGTHDMMrg S_Take_Off,"")</f>
        <v>#NAME?</v>
      </c>
      <c r="J22" s="467" t="s">
        <v>275</v>
      </c>
      <c r="K22" s="89" t="e" cm="1">
        <f t="array" ref="K22">IF(C_N2HDMMrg S_Take_Off,C_N2HDMMrg S_Take_Off,"")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S_MAX_CONT,C_EGTHDLimMC S_MAX_CONT,"")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S_MAX_CONT,C_THD S_MAX_CONT,"")</f>
        <v>#NAME?</v>
      </c>
      <c r="C24" s="269" t="s">
        <v>255</v>
      </c>
      <c r="D24" s="450" t="e" cm="1">
        <f t="array" ref="D24">IF(C_FNK3M S_MAX_CONT,C_FNK3M S_MAX_CONT,"")</f>
        <v>#NAME?</v>
      </c>
      <c r="E24" s="322" t="e" cm="1">
        <f t="array" ref="E24">IF(C_EGTK3M S_MAX_CONT,C_EGTK3M S_MAX_CONT,"")</f>
        <v>#NAME?</v>
      </c>
      <c r="F24" s="56" t="e" cm="1">
        <f t="array" ref="F24">IF(C_N2K3M S_MAX_CONT,C_N2K3M S_MAX_CONT,"")</f>
        <v>#NAME?</v>
      </c>
      <c r="G24" s="56" t="e" cm="1">
        <f t="array" ref="G24">IF(C_WFK3M S_MAX_CONT,C_WFK3M S_MAX_CONT,"")</f>
        <v>#NAME?</v>
      </c>
      <c r="H24" s="322" t="e" cm="1">
        <f t="array" ref="H24">IF(C_SFCK3 S_MAX_CONT,C_SFCK3 S_MAX_CONT,"")</f>
        <v>#NAME?</v>
      </c>
      <c r="I24" s="582" t="e" cm="1">
        <f t="array" ref="I24">IF(C_EGTHDM S_MAX_CONT,C_EGTHDM S_MAX_CONT,"")</f>
        <v>#NAME?</v>
      </c>
      <c r="J24" s="583"/>
      <c r="K24" s="93" t="e" cm="1">
        <f t="array" ref="K24">IF(C_N2R2HDM S_MAX_CONT,C_N2R2HDM S_MAX_CONT,"")</f>
        <v>#NAME?</v>
      </c>
    </row>
    <row r="25" spans="1:18" ht="14.25" x14ac:dyDescent="0.2">
      <c r="A25" s="584" t="e" cm="1">
        <f t="array" ref="A25">IF(C_N1KRatedMC S_MAX_CONT,C_N1KRatedMC S_MAX_CONT,"")</f>
        <v>#NAME?</v>
      </c>
      <c r="B25" s="563"/>
      <c r="C25" s="270" t="s">
        <v>256</v>
      </c>
      <c r="D25" s="450" t="e" cm="1">
        <f t="array" ref="D25">IF(C_FNKRatedTO S_MAX_CONT,C_FNKRatedTO S_MAX_CONT,"")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S_MAX_CONT,C_FNMrgPC S_MAX_CONT,"")</f>
        <v>#NAME?</v>
      </c>
      <c r="E26" s="587"/>
      <c r="F26" s="587"/>
      <c r="G26" s="600"/>
      <c r="H26" s="600"/>
      <c r="I26" s="466" t="e" cm="1">
        <f t="array" ref="I26">IF(C_EGTHDMMrg S_MAX_CONT,C_EGTHDMMrg S_MAX_CONT,"")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505"/>
      <c r="B27" s="505"/>
      <c r="C27" s="505"/>
      <c r="D27" s="258"/>
      <c r="E27" s="63"/>
      <c r="F27" s="505"/>
      <c r="G27" s="258"/>
      <c r="H27" s="505"/>
      <c r="I27" s="505"/>
      <c r="J27" s="505"/>
      <c r="K27" s="63"/>
      <c r="M27" s="60"/>
    </row>
    <row r="28" spans="1:18" ht="13.5" customHeight="1" thickBot="1" x14ac:dyDescent="0.25">
      <c r="A28" s="505"/>
      <c r="B28" s="505"/>
      <c r="C28" s="505"/>
      <c r="D28" s="258"/>
      <c r="E28" s="63"/>
      <c r="F28" s="505"/>
      <c r="G28" s="258"/>
      <c r="H28" s="505"/>
      <c r="I28" s="505"/>
      <c r="J28" s="505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S_Take_Off,C_EGTHDMMrg S_Take_Off,"")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S_Take_Off,C_N1ModLvl S_Take_Off,"")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506" t="e" cm="1">
        <f t="array" ref="H37"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S_Take_Off,C_PoilC S_Take_Off,"")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S_Take_Off,C_TOil S_Take_Off,"")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S_Take_Off,C_TSCAV S_Take_Off,"")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504"/>
      <c r="B64" s="504"/>
      <c r="C64" s="504"/>
      <c r="D64" s="504"/>
      <c r="E64" s="504"/>
      <c r="F64" s="504"/>
      <c r="G64" s="504"/>
      <c r="H64" s="504"/>
      <c r="I64" s="504"/>
      <c r="J64" s="504"/>
      <c r="K64" s="50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452" priority="37" stopIfTrue="1">
      <formula>LEN(TRIM(H37))=0</formula>
    </cfRule>
  </conditionalFormatting>
  <conditionalFormatting sqref="H25:I25 H21:I21 F23 F25 C15 H19 H23 K41 K23 K21">
    <cfRule type="containsBlanks" dxfId="451" priority="36" stopIfTrue="1">
      <formula>LEN(TRIM(C15))=0</formula>
    </cfRule>
  </conditionalFormatting>
  <conditionalFormatting sqref="A5 F5 A14 A29 A51">
    <cfRule type="notContainsBlanks" dxfId="450" priority="35" stopIfTrue="1">
      <formula>LEN(TRIM(A5))&gt;0</formula>
    </cfRule>
  </conditionalFormatting>
  <conditionalFormatting sqref="H10">
    <cfRule type="containsBlanks" dxfId="449" priority="34" stopIfTrue="1">
      <formula>LEN(TRIM(H10))=0</formula>
    </cfRule>
  </conditionalFormatting>
  <conditionalFormatting sqref="K26">
    <cfRule type="containsBlanks" dxfId="448" priority="33" stopIfTrue="1">
      <formula>LEN(TRIM(K26))=0</formula>
    </cfRule>
  </conditionalFormatting>
  <conditionalFormatting sqref="K42">
    <cfRule type="containsBlanks" dxfId="447" priority="32" stopIfTrue="1">
      <formula>LEN(TRIM(K42))=0</formula>
    </cfRule>
  </conditionalFormatting>
  <conditionalFormatting sqref="K43">
    <cfRule type="containsBlanks" dxfId="446" priority="31" stopIfTrue="1">
      <formula>LEN(TRIM(K43))=0</formula>
    </cfRule>
  </conditionalFormatting>
  <conditionalFormatting sqref="D19">
    <cfRule type="containsBlanks" dxfId="445" priority="30" stopIfTrue="1">
      <formula>LEN(TRIM(D19))=0</formula>
    </cfRule>
  </conditionalFormatting>
  <conditionalFormatting sqref="E21">
    <cfRule type="containsBlanks" dxfId="444" priority="29" stopIfTrue="1">
      <formula>LEN(TRIM(E21))=0</formula>
    </cfRule>
  </conditionalFormatting>
  <conditionalFormatting sqref="E19">
    <cfRule type="containsBlanks" dxfId="443" priority="28" stopIfTrue="1">
      <formula>LEN(TRIM(E19))=0</formula>
    </cfRule>
  </conditionalFormatting>
  <conditionalFormatting sqref="F19">
    <cfRule type="containsBlanks" dxfId="442" priority="27" stopIfTrue="1">
      <formula>LEN(TRIM(F19))=0</formula>
    </cfRule>
  </conditionalFormatting>
  <conditionalFormatting sqref="F21">
    <cfRule type="containsBlanks" dxfId="441" priority="26" stopIfTrue="1">
      <formula>LEN(TRIM(F21))=0</formula>
    </cfRule>
  </conditionalFormatting>
  <conditionalFormatting sqref="D23">
    <cfRule type="containsBlanks" dxfId="440" priority="25" stopIfTrue="1">
      <formula>LEN(TRIM(D23))=0</formula>
    </cfRule>
  </conditionalFormatting>
  <conditionalFormatting sqref="E23">
    <cfRule type="containsBlanks" dxfId="439" priority="24" stopIfTrue="1">
      <formula>LEN(TRIM(E23))=0</formula>
    </cfRule>
  </conditionalFormatting>
  <conditionalFormatting sqref="K45">
    <cfRule type="containsBlanks" dxfId="438" priority="16" stopIfTrue="1">
      <formula>LEN(TRIM(K45))=0</formula>
    </cfRule>
  </conditionalFormatting>
  <conditionalFormatting sqref="E25">
    <cfRule type="containsBlanks" dxfId="437" priority="23" stopIfTrue="1">
      <formula>LEN(TRIM(E25))=0</formula>
    </cfRule>
  </conditionalFormatting>
  <conditionalFormatting sqref="G19">
    <cfRule type="containsBlanks" dxfId="436" priority="22" stopIfTrue="1">
      <formula>LEN(TRIM(G19))=0</formula>
    </cfRule>
  </conditionalFormatting>
  <conditionalFormatting sqref="G23">
    <cfRule type="containsBlanks" dxfId="435" priority="21" stopIfTrue="1">
      <formula>LEN(TRIM(G23))=0</formula>
    </cfRule>
  </conditionalFormatting>
  <conditionalFormatting sqref="G25">
    <cfRule type="containsBlanks" dxfId="434" priority="20" stopIfTrue="1">
      <formula>LEN(TRIM(G25))=0</formula>
    </cfRule>
  </conditionalFormatting>
  <conditionalFormatting sqref="G21">
    <cfRule type="containsBlanks" dxfId="433" priority="19" stopIfTrue="1">
      <formula>LEN(TRIM(G21))=0</formula>
    </cfRule>
  </conditionalFormatting>
  <conditionalFormatting sqref="K25">
    <cfRule type="containsBlanks" dxfId="432" priority="18" stopIfTrue="1">
      <formula>LEN(TRIM(K25))=0</formula>
    </cfRule>
  </conditionalFormatting>
  <conditionalFormatting sqref="K44">
    <cfRule type="containsBlanks" dxfId="431" priority="17" stopIfTrue="1">
      <formula>LEN(TRIM(K44))=0</formula>
    </cfRule>
  </conditionalFormatting>
  <conditionalFormatting sqref="K46">
    <cfRule type="containsBlanks" dxfId="430" priority="15" stopIfTrue="1">
      <formula>LEN(TRIM(K46))=0</formula>
    </cfRule>
  </conditionalFormatting>
  <conditionalFormatting sqref="K47">
    <cfRule type="containsBlanks" dxfId="429" priority="14" stopIfTrue="1">
      <formula>LEN(TRIM(K47))=0</formula>
    </cfRule>
  </conditionalFormatting>
  <conditionalFormatting sqref="K48">
    <cfRule type="containsBlanks" dxfId="428" priority="13" stopIfTrue="1">
      <formula>LEN(TRIM(K48))=0</formula>
    </cfRule>
  </conditionalFormatting>
  <conditionalFormatting sqref="K49">
    <cfRule type="containsBlanks" dxfId="427" priority="12" stopIfTrue="1">
      <formula>LEN(TRIM(K49))=0</formula>
    </cfRule>
  </conditionalFormatting>
  <conditionalFormatting sqref="H11">
    <cfRule type="containsBlanks" dxfId="426" priority="11" stopIfTrue="1">
      <formula>LEN(TRIM(H11))=0</formula>
    </cfRule>
  </conditionalFormatting>
  <conditionalFormatting sqref="H12">
    <cfRule type="containsBlanks" dxfId="425" priority="10" stopIfTrue="1">
      <formula>LEN(TRIM(H12))=0</formula>
    </cfRule>
  </conditionalFormatting>
  <conditionalFormatting sqref="C9">
    <cfRule type="containsBlanks" dxfId="424" priority="9" stopIfTrue="1">
      <formula>LEN(TRIM(C9))=0</formula>
    </cfRule>
  </conditionalFormatting>
  <conditionalFormatting sqref="H58">
    <cfRule type="containsBlanks" dxfId="423" priority="8" stopIfTrue="1">
      <formula>LEN(TRIM(H58))=0</formula>
    </cfRule>
  </conditionalFormatting>
  <conditionalFormatting sqref="H59">
    <cfRule type="containsBlanks" dxfId="422" priority="7" stopIfTrue="1">
      <formula>LEN(TRIM(H59))=0</formula>
    </cfRule>
  </conditionalFormatting>
  <conditionalFormatting sqref="I52">
    <cfRule type="containsBlanks" dxfId="421" priority="6" stopIfTrue="1">
      <formula>LEN(TRIM(I52))=0</formula>
    </cfRule>
  </conditionalFormatting>
  <conditionalFormatting sqref="H52">
    <cfRule type="containsBlanks" dxfId="420" priority="5" stopIfTrue="1">
      <formula>LEN(TRIM(H52))=0</formula>
    </cfRule>
  </conditionalFormatting>
  <conditionalFormatting sqref="H53">
    <cfRule type="containsBlanks" dxfId="419" priority="4" stopIfTrue="1">
      <formula>LEN(TRIM(H53))=0</formula>
    </cfRule>
  </conditionalFormatting>
  <conditionalFormatting sqref="H54">
    <cfRule type="containsBlanks" dxfId="418" priority="3" stopIfTrue="1">
      <formula>LEN(TRIM(H54))=0</formula>
    </cfRule>
  </conditionalFormatting>
  <conditionalFormatting sqref="K52">
    <cfRule type="containsBlanks" dxfId="417" priority="2" stopIfTrue="1">
      <formula>LEN(TRIM(K52))=0</formula>
    </cfRule>
  </conditionalFormatting>
  <conditionalFormatting sqref="K30">
    <cfRule type="containsBlanks" dxfId="416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R66"/>
  <sheetViews>
    <sheetView zoomScaleNormal="100" workbookViewId="0">
      <selection activeCell="C6" sqref="C6:E6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91" t="s">
        <v>234</v>
      </c>
      <c r="B9" s="92"/>
      <c r="C9" s="553" t="e">
        <f xml:space="preserve"> VLOOKUP(C_Engine_Rating S_Take_Off_B1,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91" t="s">
        <v>236</v>
      </c>
      <c r="B10" s="92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52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53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49"/>
      <c r="E19" s="87"/>
      <c r="F19" s="87"/>
      <c r="G19" s="87"/>
      <c r="H19" s="87"/>
      <c r="I19" s="578" t="e" cm="1">
        <f t="array" ref="I19">IF(C_EGTHDLimTO S_Take_Off_B1,C_EGTHDLimTO S_Take_Off_B1,"")</f>
        <v>#NAME?</v>
      </c>
      <c r="J19" s="579"/>
      <c r="K19" s="78" t="e" cm="1">
        <f t="array" ref="K19">IF(C_N2HDLim_TO S_Take_Off_B1,C_N2HDLim_TO S_Take_Off_B1,"")</f>
        <v>#NAME?</v>
      </c>
    </row>
    <row r="20" spans="1:18" ht="14.25" x14ac:dyDescent="0.2">
      <c r="A20" s="90"/>
      <c r="B20" s="580" t="e" cm="1">
        <f t="array" ref="B20">IF(C_THD S_Take_Off_B1,C_THD S_Take_Off_B1,"")</f>
        <v>#NAME?</v>
      </c>
      <c r="C20" s="269" t="s">
        <v>255</v>
      </c>
      <c r="D20" s="450" t="e" cm="1">
        <f t="array" ref="D20">IF(C_FNK3M S_Take_Off_B1,C_FNK3M S_Take_Off_B1,"")</f>
        <v>#NAME?</v>
      </c>
      <c r="E20" s="322" t="e" cm="1">
        <f t="array" ref="E20">IF(C_EGTK3M S_Take_Off_B1,C_EGTK3M S_Take_Off_B1,"")</f>
        <v>#NAME?</v>
      </c>
      <c r="F20" s="56" t="e" cm="1">
        <f t="array" ref="F20">IF(C_N2K3M S_Take_Off_B1,C_N2K3M S_Take_Off_B1,"")</f>
        <v>#NAME?</v>
      </c>
      <c r="G20" s="56" t="e" cm="1">
        <f t="array" ref="G20">IF(C_WFK3M S_Take_Off_B1,C_WFK3M S_Take_Off_B1,"")</f>
        <v>#NAME?</v>
      </c>
      <c r="H20" s="322" t="e" cm="1">
        <f t="array" ref="H20">IF(C_SFCK3 S_Take_Off_B1,C_SFCK3 S_Take_Off_B1,"")</f>
        <v>#NAME?</v>
      </c>
      <c r="I20" s="582" t="e" cm="1">
        <f t="array" ref="I20">IF(C_EGTHDM S_Take_Off_B1,C_EGTHDM S_Take_Off_B1,"")</f>
        <v>#NAME?</v>
      </c>
      <c r="J20" s="583"/>
      <c r="K20" s="93" t="e" cm="1">
        <f t="array" ref="K20">IF(C_N2R2HDM S_Take_Off_B1,C_N2R2HDM S_Take_Off_B1,"")</f>
        <v>#NAME?</v>
      </c>
    </row>
    <row r="21" spans="1:18" ht="14.25" x14ac:dyDescent="0.2">
      <c r="A21" s="584" t="e" cm="1">
        <f t="array" ref="A21">IF(C_N1KRatedTO S_Take_Off_B1,C_N1KRatedTO S_Take_Off_B1,"")</f>
        <v>#NAME?</v>
      </c>
      <c r="B21" s="580"/>
      <c r="C21" s="269" t="s">
        <v>256</v>
      </c>
      <c r="D21" s="450" t="e" cm="1">
        <f t="array" ref="D21">IF(C_FNKRatedTO S_Take_Off_B1,C_FNKRatedTO S_Take_Off_B1,"")</f>
        <v>#NAME?</v>
      </c>
      <c r="E21" s="586"/>
      <c r="F21" s="586"/>
      <c r="G21" s="586"/>
      <c r="H21" s="586"/>
      <c r="I21" s="588"/>
      <c r="J21" s="589"/>
      <c r="K21" s="57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S_Take_Off_B1,C_FNMrgPC S_Take_Off_B1,"")</f>
        <v>#NAME?</v>
      </c>
      <c r="E22" s="587"/>
      <c r="F22" s="587"/>
      <c r="G22" s="587"/>
      <c r="H22" s="587"/>
      <c r="I22" s="466" t="e" cm="1">
        <f t="array" ref="I22">IF(C_EGTHDMMrg S_Take_Off_B1,C_EGTHDMMrg S_Take_Off_B1,"")</f>
        <v>#NAME?</v>
      </c>
      <c r="J22" s="467" t="s">
        <v>275</v>
      </c>
      <c r="K22" s="89" t="e" cm="1">
        <f t="array" ref="K22">IF(C_N2HDMMrg S_Take_Off_B1,C_N2HDMMrg S_Take_Off_B1,"")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49"/>
      <c r="E23" s="54"/>
      <c r="F23" s="54"/>
      <c r="G23" s="54"/>
      <c r="H23" s="88"/>
      <c r="I23" s="578" t="e" cm="1">
        <f t="array" ref="I23">IF(C_EGTHDLimMC S_MAX_CONT_B1,C_EGTHDLimMC S_MAX_CONT_B1,"")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S_MAX_CONT_B1,C_THD S_MAX_CONT_B1,"")</f>
        <v>#NAME?</v>
      </c>
      <c r="C24" s="269" t="s">
        <v>255</v>
      </c>
      <c r="D24" s="450" t="e" cm="1">
        <f t="array" ref="D24">IF(C_FNK3M S_MAX_CONT_B1,C_FNK3M S_MAX_CONT_B1,"")</f>
        <v>#NAME?</v>
      </c>
      <c r="E24" s="322" t="e" cm="1">
        <f t="array" ref="E24">IF(C_EGTK3M S_MAX_CONT_B1,C_EGTK3M S_MAX_CONT_B1,"")</f>
        <v>#NAME?</v>
      </c>
      <c r="F24" s="56" t="e" cm="1">
        <f t="array" ref="F24">IF(C_N2K3M S_MAX_CONT_B1,C_N2K3M S_MAX_CONT_B1,"")</f>
        <v>#NAME?</v>
      </c>
      <c r="G24" s="56" t="e" cm="1">
        <f t="array" ref="G24">IF(C_WFK3M S_MAX_CONT_B1,C_WFK3M S_MAX_CONT_B1,"")</f>
        <v>#NAME?</v>
      </c>
      <c r="H24" s="322" t="e" cm="1">
        <f t="array" ref="H24">IF(C_SFCK3 S_MAX_CONT_B1,C_SFCK3 S_MAX_CONT_B1,"")</f>
        <v>#NAME?</v>
      </c>
      <c r="I24" s="582" t="e" cm="1">
        <f t="array" ref="I24">IF(C_EGTHDM S_MAX_CONT_B1,C_EGTHDM S_MAX_CONT_B1,"")</f>
        <v>#NAME?</v>
      </c>
      <c r="J24" s="583"/>
      <c r="K24" s="93" t="e" cm="1">
        <f t="array" ref="K24">IF(C_N2R2HDM S_MAX_CONT_B1,C_N2R2HDM S_MAX_CONT_B1,"")</f>
        <v>#NAME?</v>
      </c>
    </row>
    <row r="25" spans="1:18" ht="14.25" x14ac:dyDescent="0.2">
      <c r="A25" s="584" t="e" cm="1">
        <f t="array" ref="A25">IF(C_N1KRatedMC S_MAX_CONT_B1,C_N1KRatedMC S_MAX_CONT_B1,"")</f>
        <v>#NAME?</v>
      </c>
      <c r="B25" s="563"/>
      <c r="C25" s="270" t="s">
        <v>256</v>
      </c>
      <c r="D25" s="450" t="e" cm="1">
        <f t="array" ref="D25">IF(C_FNKRatedTO S_MAX_CONT_B1,C_FNKRatedTO S_MAX_CONT_B1,"")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S_MAX_CONT_B1,C_FNMrgPC S_MAX_CONT_B1,"")</f>
        <v>#NAME?</v>
      </c>
      <c r="E26" s="587"/>
      <c r="F26" s="587"/>
      <c r="G26" s="600"/>
      <c r="H26" s="600"/>
      <c r="I26" s="466" t="e" cm="1">
        <f t="array" ref="I26">IF(C_EGTHDMMrg S_MAX_CONT_B1,C_EGTHDMMrg S_MAX_CONT_B1,"")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61"/>
      <c r="B27" s="61"/>
      <c r="C27" s="61"/>
      <c r="D27" s="62"/>
      <c r="E27" s="63"/>
      <c r="F27" s="61"/>
      <c r="G27" s="62"/>
      <c r="H27" s="61"/>
      <c r="I27" s="61"/>
      <c r="J27" s="455"/>
      <c r="K27" s="63"/>
      <c r="M27" s="60"/>
    </row>
    <row r="28" spans="1:18" ht="13.5" customHeight="1" thickBot="1" x14ac:dyDescent="0.25">
      <c r="A28" s="61"/>
      <c r="B28" s="61"/>
      <c r="C28" s="61"/>
      <c r="D28" s="62"/>
      <c r="E28" s="63"/>
      <c r="F28" s="61"/>
      <c r="G28" s="62"/>
      <c r="H28" s="61"/>
      <c r="I28" s="61"/>
      <c r="J28" s="455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S_Take_Off_B1,C_EGTHDMMrg S_Take_Off_B1,"")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S_Take_Off_B1,C_N1ModLvl S_Take_Off_B1,"")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506" t="e" cm="1">
        <f t="array" ref="H37"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S_Take_Off_B1,C_PoilC S_Take_Off_B1,"")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S_Take_Off_B1,C_TOil S_Take_Off_B1,"")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S_Take_Off_B1,C_TSCAV S_Take_Off_B1,"")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S_Take_Off_B1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S_Take_Off_B1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S_Take_Off_B1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S_Take_Off_B1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S_Take_Off_B1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S_Take_Off_B1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S_Take_Off_B1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S_Take_Off_B1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260"/>
      <c r="B64" s="260"/>
      <c r="C64" s="260"/>
      <c r="D64" s="260"/>
      <c r="E64" s="260"/>
      <c r="F64" s="260"/>
      <c r="G64" s="260"/>
      <c r="H64" s="260"/>
      <c r="I64" s="260"/>
      <c r="J64" s="451"/>
      <c r="K64" s="260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F9:G9"/>
    <mergeCell ref="K52:K61"/>
    <mergeCell ref="A52:G52"/>
    <mergeCell ref="A53:G53"/>
    <mergeCell ref="E25:E26"/>
    <mergeCell ref="F25:F26"/>
    <mergeCell ref="G25:G26"/>
    <mergeCell ref="H25:H26"/>
    <mergeCell ref="A60:G60"/>
    <mergeCell ref="A29:G29"/>
    <mergeCell ref="A19:B19"/>
    <mergeCell ref="B20:B22"/>
    <mergeCell ref="A21:A22"/>
    <mergeCell ref="A23:B23"/>
    <mergeCell ref="B24:B26"/>
    <mergeCell ref="A25:A26"/>
    <mergeCell ref="A34:G34"/>
    <mergeCell ref="A35:G35"/>
    <mergeCell ref="A36:G36"/>
    <mergeCell ref="A37:G37"/>
    <mergeCell ref="I17:J17"/>
    <mergeCell ref="I18:J18"/>
    <mergeCell ref="I19:J19"/>
    <mergeCell ref="I25:J25"/>
    <mergeCell ref="A2:K3"/>
    <mergeCell ref="A5:E5"/>
    <mergeCell ref="F5:K5"/>
    <mergeCell ref="A6:B6"/>
    <mergeCell ref="C6:E6"/>
    <mergeCell ref="A7:B7"/>
    <mergeCell ref="H7:K7"/>
    <mergeCell ref="E21:E22"/>
    <mergeCell ref="F21:F22"/>
    <mergeCell ref="G21:G22"/>
    <mergeCell ref="H21:H22"/>
    <mergeCell ref="C8:E8"/>
    <mergeCell ref="F8:G8"/>
    <mergeCell ref="H8:K8"/>
    <mergeCell ref="H9:K9"/>
    <mergeCell ref="C10:E10"/>
    <mergeCell ref="A14:K14"/>
    <mergeCell ref="F6:G6"/>
    <mergeCell ref="H6:K6"/>
    <mergeCell ref="F10:G10"/>
    <mergeCell ref="H10:K10"/>
    <mergeCell ref="C7:E7"/>
    <mergeCell ref="F7:G7"/>
    <mergeCell ref="C9:E9"/>
    <mergeCell ref="A8:B8"/>
    <mergeCell ref="A15:A17"/>
    <mergeCell ref="B15:B17"/>
    <mergeCell ref="A12:B12"/>
    <mergeCell ref="A11:B11"/>
    <mergeCell ref="A61:G61"/>
    <mergeCell ref="A63:K63"/>
    <mergeCell ref="A49:G49"/>
    <mergeCell ref="A51:G51"/>
    <mergeCell ref="A55:G55"/>
    <mergeCell ref="A62:E62"/>
    <mergeCell ref="A54:G54"/>
    <mergeCell ref="A40:G40"/>
    <mergeCell ref="A41:G41"/>
    <mergeCell ref="A42:G42"/>
    <mergeCell ref="A56:G56"/>
    <mergeCell ref="A43:G43"/>
    <mergeCell ref="A44:G44"/>
    <mergeCell ref="A45:G45"/>
    <mergeCell ref="A46:G46"/>
    <mergeCell ref="A48:G48"/>
    <mergeCell ref="A47:G47"/>
    <mergeCell ref="A32:G32"/>
    <mergeCell ref="A33:G33"/>
    <mergeCell ref="I24:J24"/>
    <mergeCell ref="I23:J23"/>
    <mergeCell ref="I21:J21"/>
    <mergeCell ref="I20:J20"/>
    <mergeCell ref="C11:E11"/>
    <mergeCell ref="C15:C18"/>
    <mergeCell ref="D15:K15"/>
    <mergeCell ref="D16:H16"/>
    <mergeCell ref="I16:K16"/>
    <mergeCell ref="F11:G11"/>
    <mergeCell ref="H11:K11"/>
    <mergeCell ref="C12:E12"/>
    <mergeCell ref="F12:G12"/>
    <mergeCell ref="H12:K12"/>
    <mergeCell ref="I61:J61"/>
    <mergeCell ref="I60:J60"/>
    <mergeCell ref="I51:J51"/>
    <mergeCell ref="I49:J49"/>
    <mergeCell ref="I48:J48"/>
    <mergeCell ref="I29:J29"/>
    <mergeCell ref="I45:J45"/>
    <mergeCell ref="I44:J44"/>
    <mergeCell ref="I43:J43"/>
    <mergeCell ref="I42:J42"/>
    <mergeCell ref="I41:J41"/>
    <mergeCell ref="A38:G38"/>
    <mergeCell ref="A39:G39"/>
    <mergeCell ref="A57:G57"/>
    <mergeCell ref="A58:G58"/>
    <mergeCell ref="A59:G59"/>
    <mergeCell ref="K30:K31"/>
    <mergeCell ref="I30:J30"/>
    <mergeCell ref="I31:J31"/>
    <mergeCell ref="A30:G30"/>
    <mergeCell ref="A31:G31"/>
    <mergeCell ref="I47:J47"/>
    <mergeCell ref="I46:J46"/>
    <mergeCell ref="I52:J59"/>
  </mergeCells>
  <conditionalFormatting sqref="H37 H55:H57">
    <cfRule type="containsBlanks" dxfId="415" priority="71" stopIfTrue="1">
      <formula>LEN(TRIM(H37))=0</formula>
    </cfRule>
  </conditionalFormatting>
  <conditionalFormatting sqref="H25:I25 H21:I21 F23 F25 C15 H19 H23 K41 K23 K21">
    <cfRule type="containsBlanks" dxfId="414" priority="70" stopIfTrue="1">
      <formula>LEN(TRIM(C15))=0</formula>
    </cfRule>
  </conditionalFormatting>
  <conditionalFormatting sqref="A5 F5 A14 A29 A51">
    <cfRule type="notContainsBlanks" dxfId="413" priority="69" stopIfTrue="1">
      <formula>LEN(TRIM(A5))&gt;0</formula>
    </cfRule>
  </conditionalFormatting>
  <conditionalFormatting sqref="H10">
    <cfRule type="containsBlanks" dxfId="412" priority="68" stopIfTrue="1">
      <formula>LEN(TRIM(H10))=0</formula>
    </cfRule>
  </conditionalFormatting>
  <conditionalFormatting sqref="K26">
    <cfRule type="containsBlanks" dxfId="411" priority="67" stopIfTrue="1">
      <formula>LEN(TRIM(K26))=0</formula>
    </cfRule>
  </conditionalFormatting>
  <conditionalFormatting sqref="K42">
    <cfRule type="containsBlanks" dxfId="410" priority="65" stopIfTrue="1">
      <formula>LEN(TRIM(K42))=0</formula>
    </cfRule>
  </conditionalFormatting>
  <conditionalFormatting sqref="K43">
    <cfRule type="containsBlanks" dxfId="409" priority="64" stopIfTrue="1">
      <formula>LEN(TRIM(K43))=0</formula>
    </cfRule>
  </conditionalFormatting>
  <conditionalFormatting sqref="D19">
    <cfRule type="containsBlanks" dxfId="408" priority="60" stopIfTrue="1">
      <formula>LEN(TRIM(D19))=0</formula>
    </cfRule>
  </conditionalFormatting>
  <conditionalFormatting sqref="E21">
    <cfRule type="containsBlanks" dxfId="407" priority="59" stopIfTrue="1">
      <formula>LEN(TRIM(E21))=0</formula>
    </cfRule>
  </conditionalFormatting>
  <conditionalFormatting sqref="E19">
    <cfRule type="containsBlanks" dxfId="406" priority="58" stopIfTrue="1">
      <formula>LEN(TRIM(E19))=0</formula>
    </cfRule>
  </conditionalFormatting>
  <conditionalFormatting sqref="F19">
    <cfRule type="containsBlanks" dxfId="405" priority="57" stopIfTrue="1">
      <formula>LEN(TRIM(F19))=0</formula>
    </cfRule>
  </conditionalFormatting>
  <conditionalFormatting sqref="F21">
    <cfRule type="containsBlanks" dxfId="404" priority="53" stopIfTrue="1">
      <formula>LEN(TRIM(F21))=0</formula>
    </cfRule>
  </conditionalFormatting>
  <conditionalFormatting sqref="D23">
    <cfRule type="containsBlanks" dxfId="403" priority="52" stopIfTrue="1">
      <formula>LEN(TRIM(D23))=0</formula>
    </cfRule>
  </conditionalFormatting>
  <conditionalFormatting sqref="E23">
    <cfRule type="containsBlanks" dxfId="402" priority="51" stopIfTrue="1">
      <formula>LEN(TRIM(E23))=0</formula>
    </cfRule>
  </conditionalFormatting>
  <conditionalFormatting sqref="K45">
    <cfRule type="containsBlanks" dxfId="401" priority="41" stopIfTrue="1">
      <formula>LEN(TRIM(K45))=0</formula>
    </cfRule>
  </conditionalFormatting>
  <conditionalFormatting sqref="E25">
    <cfRule type="containsBlanks" dxfId="400" priority="50" stopIfTrue="1">
      <formula>LEN(TRIM(E25))=0</formula>
    </cfRule>
  </conditionalFormatting>
  <conditionalFormatting sqref="G19">
    <cfRule type="containsBlanks" dxfId="399" priority="48" stopIfTrue="1">
      <formula>LEN(TRIM(G19))=0</formula>
    </cfRule>
  </conditionalFormatting>
  <conditionalFormatting sqref="G23">
    <cfRule type="containsBlanks" dxfId="398" priority="47" stopIfTrue="1">
      <formula>LEN(TRIM(G23))=0</formula>
    </cfRule>
  </conditionalFormatting>
  <conditionalFormatting sqref="G25">
    <cfRule type="containsBlanks" dxfId="397" priority="46" stopIfTrue="1">
      <formula>LEN(TRIM(G25))=0</formula>
    </cfRule>
  </conditionalFormatting>
  <conditionalFormatting sqref="G21">
    <cfRule type="containsBlanks" dxfId="396" priority="45" stopIfTrue="1">
      <formula>LEN(TRIM(G21))=0</formula>
    </cfRule>
  </conditionalFormatting>
  <conditionalFormatting sqref="K25">
    <cfRule type="containsBlanks" dxfId="395" priority="43" stopIfTrue="1">
      <formula>LEN(TRIM(K25))=0</formula>
    </cfRule>
  </conditionalFormatting>
  <conditionalFormatting sqref="K44">
    <cfRule type="containsBlanks" dxfId="394" priority="42" stopIfTrue="1">
      <formula>LEN(TRIM(K44))=0</formula>
    </cfRule>
  </conditionalFormatting>
  <conditionalFormatting sqref="K46">
    <cfRule type="containsBlanks" dxfId="393" priority="40" stopIfTrue="1">
      <formula>LEN(TRIM(K46))=0</formula>
    </cfRule>
  </conditionalFormatting>
  <conditionalFormatting sqref="K47">
    <cfRule type="containsBlanks" dxfId="392" priority="39" stopIfTrue="1">
      <formula>LEN(TRIM(K47))=0</formula>
    </cfRule>
  </conditionalFormatting>
  <conditionalFormatting sqref="K48">
    <cfRule type="containsBlanks" dxfId="391" priority="38" stopIfTrue="1">
      <formula>LEN(TRIM(K48))=0</formula>
    </cfRule>
  </conditionalFormatting>
  <conditionalFormatting sqref="K49">
    <cfRule type="containsBlanks" dxfId="390" priority="37" stopIfTrue="1">
      <formula>LEN(TRIM(K49))=0</formula>
    </cfRule>
  </conditionalFormatting>
  <conditionalFormatting sqref="H11">
    <cfRule type="containsBlanks" dxfId="389" priority="30" stopIfTrue="1">
      <formula>LEN(TRIM(H11))=0</formula>
    </cfRule>
  </conditionalFormatting>
  <conditionalFormatting sqref="H12">
    <cfRule type="containsBlanks" dxfId="388" priority="25" stopIfTrue="1">
      <formula>LEN(TRIM(H12))=0</formula>
    </cfRule>
  </conditionalFormatting>
  <conditionalFormatting sqref="C9">
    <cfRule type="containsBlanks" dxfId="387" priority="23" stopIfTrue="1">
      <formula>LEN(TRIM(C9))=0</formula>
    </cfRule>
  </conditionalFormatting>
  <conditionalFormatting sqref="H58">
    <cfRule type="containsBlanks" dxfId="386" priority="18" stopIfTrue="1">
      <formula>LEN(TRIM(H58))=0</formula>
    </cfRule>
  </conditionalFormatting>
  <conditionalFormatting sqref="H59">
    <cfRule type="containsBlanks" dxfId="385" priority="16" stopIfTrue="1">
      <formula>LEN(TRIM(H59))=0</formula>
    </cfRule>
  </conditionalFormatting>
  <conditionalFormatting sqref="I52">
    <cfRule type="containsBlanks" dxfId="384" priority="13" stopIfTrue="1">
      <formula>LEN(TRIM(I52))=0</formula>
    </cfRule>
  </conditionalFormatting>
  <conditionalFormatting sqref="H52">
    <cfRule type="containsBlanks" dxfId="383" priority="10" stopIfTrue="1">
      <formula>LEN(TRIM(H52))=0</formula>
    </cfRule>
  </conditionalFormatting>
  <conditionalFormatting sqref="H53">
    <cfRule type="containsBlanks" dxfId="382" priority="9" stopIfTrue="1">
      <formula>LEN(TRIM(H53))=0</formula>
    </cfRule>
  </conditionalFormatting>
  <conditionalFormatting sqref="H54">
    <cfRule type="containsBlanks" dxfId="381" priority="8" stopIfTrue="1">
      <formula>LEN(TRIM(H54))=0</formula>
    </cfRule>
  </conditionalFormatting>
  <conditionalFormatting sqref="K52">
    <cfRule type="containsBlanks" dxfId="380" priority="7" stopIfTrue="1">
      <formula>LEN(TRIM(K52))=0</formula>
    </cfRule>
  </conditionalFormatting>
  <conditionalFormatting sqref="K30">
    <cfRule type="containsBlanks" dxfId="379" priority="3" stopIfTrue="1">
      <formula>LEN(TRIM(K30))=0</formula>
    </cfRule>
  </conditionalFormatting>
  <pageMargins left="0.7" right="0.7" top="0.5" bottom="0" header="0.3" footer="0.3"/>
  <pageSetup paperSize="9" scale="82" orientation="portrait" r:id="rId1"/>
  <ignoredErrors>
    <ignoredError sqref="H3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485-AA7D-405E-ADAE-142B5612321E}">
  <sheetPr>
    <tabColor rgb="FFFFC000"/>
  </sheetPr>
  <dimension ref="A1:R66"/>
  <sheetViews>
    <sheetView zoomScaleNormal="100" workbookViewId="0">
      <selection activeCell="E20" sqref="E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S_Take_Off_B2,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S_Take_Off_B2,C_EGTHDLimTO S_Take_Off_B2,"")</f>
        <v>#NAME?</v>
      </c>
      <c r="J19" s="579"/>
      <c r="K19" s="78" t="e" cm="1">
        <f t="array" ref="K19">IF(C_N2HDLim_TO S_Take_Off_B2,C_N2HDLim_TO S_Take_Off_B2,"")</f>
        <v>#NAME?</v>
      </c>
    </row>
    <row r="20" spans="1:18" ht="14.25" x14ac:dyDescent="0.2">
      <c r="A20" s="90"/>
      <c r="B20" s="580" t="e" cm="1">
        <f t="array" ref="B20">IF(C_THD S_Take_Off_B2,C_THD S_Take_Off_B2,"")</f>
        <v>#NAME?</v>
      </c>
      <c r="C20" s="269" t="s">
        <v>255</v>
      </c>
      <c r="D20" s="450" t="e" cm="1">
        <f t="array" ref="D20">IF(C_FNK3M S_Take_Off_B2,C_FNK3M S_Take_Off_B2,"")</f>
        <v>#NAME?</v>
      </c>
      <c r="E20" s="322" t="e" cm="1">
        <f t="array" ref="E20">IF(C_EGTK3M S_Take_Off_B2,C_EGTK3M S_Take_Off_B2,"")</f>
        <v>#NAME?</v>
      </c>
      <c r="F20" s="56" t="e" cm="1">
        <f t="array" ref="F20">IF(C_N2K3M S_Take_Off_B2,C_N2K3M S_Take_Off_B2,"")</f>
        <v>#NAME?</v>
      </c>
      <c r="G20" s="56" t="e" cm="1">
        <f t="array" ref="G20">IF(C_WFK3M S_Take_Off_B2,C_WFK3M S_Take_Off_B2,"")</f>
        <v>#NAME?</v>
      </c>
      <c r="H20" s="322" t="e" cm="1">
        <f t="array" ref="H20">IF(C_SFCK3 S_Take_Off_B2,C_SFCK3 S_Take_Off_B2,"")</f>
        <v>#NAME?</v>
      </c>
      <c r="I20" s="582" t="e" cm="1">
        <f t="array" ref="I20">IF(C_EGTHDM S_Take_Off_B2,C_EGTHDM S_Take_Off_B2,"")</f>
        <v>#NAME?</v>
      </c>
      <c r="J20" s="583"/>
      <c r="K20" s="93" t="e" cm="1">
        <f t="array" ref="K20">IF(C_N2R2HDM S_Take_Off_B2,C_N2R2HDM S_Take_Off_B2,"")</f>
        <v>#NAME?</v>
      </c>
    </row>
    <row r="21" spans="1:18" ht="14.25" x14ac:dyDescent="0.2">
      <c r="A21" s="584" t="e" cm="1">
        <f t="array" ref="A21">IF(C_N1KRatedTO S_Take_Off_B2,C_N1KRatedTO S_Take_Off_B2,"")</f>
        <v>#NAME?</v>
      </c>
      <c r="B21" s="580"/>
      <c r="C21" s="269" t="s">
        <v>256</v>
      </c>
      <c r="D21" s="450" t="e" cm="1">
        <f t="array" ref="D21">IF(C_FNKRatedTO S_Take_Off_B2,C_FNKRatedTO S_Take_Off_B2,"")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S_Take_Off_B2,C_FNMrgPC S_Take_Off_B2,"")</f>
        <v>#NAME?</v>
      </c>
      <c r="E22" s="587"/>
      <c r="F22" s="587"/>
      <c r="G22" s="587"/>
      <c r="H22" s="587"/>
      <c r="I22" s="466" t="e" cm="1">
        <f t="array" ref="I22">IF(C_EGTHDMMrg S_Take_Off_B2,C_EGTHDMMrg S_Take_Off_B2,"")</f>
        <v>#NAME?</v>
      </c>
      <c r="J22" s="467" t="s">
        <v>275</v>
      </c>
      <c r="K22" s="89" t="e" cm="1">
        <f t="array" ref="K22">IF(C_N2HDMMrg S_Take_Off_B2,C_N2HDMMrg S_Take_Off_B2,"")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S_MAX_CONT_B2,C_EGTHDLimMC S_MAX_CONT_B2,"")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S_MAX_CONT_B2,C_THD S_MAX_CONT_B2,"")</f>
        <v>#NAME?</v>
      </c>
      <c r="C24" s="269" t="s">
        <v>255</v>
      </c>
      <c r="D24" s="450" t="e" cm="1">
        <f t="array" ref="D24">IF(C_FNK3M S_MAX_CONT_B2,C_FNK3M S_MAX_CONT_B2,"")</f>
        <v>#NAME?</v>
      </c>
      <c r="E24" s="322" t="e" cm="1">
        <f t="array" ref="E24">IF(C_EGTK3M S_MAX_CONT_B2,C_EGTK3M S_MAX_CONT_B2,"")</f>
        <v>#NAME?</v>
      </c>
      <c r="F24" s="56" t="e" cm="1">
        <f t="array" ref="F24">IF(C_N2K3M S_MAX_CONT_B2,C_N2K3M S_MAX_CONT_B2,"")</f>
        <v>#NAME?</v>
      </c>
      <c r="G24" s="56" t="e" cm="1">
        <f t="array" ref="G24">IF(C_WFK3M S_MAX_CONT_B2,C_WFK3M S_MAX_CONT_B2,"")</f>
        <v>#NAME?</v>
      </c>
      <c r="H24" s="322" t="e" cm="1">
        <f t="array" ref="H24">IF(C_SFCK3 S_MAX_CONT_B2,C_SFCK3 S_MAX_CONT_B2,"")</f>
        <v>#NAME?</v>
      </c>
      <c r="I24" s="582" t="e" cm="1">
        <f t="array" ref="I24">IF(C_EGTHDM S_MAX_CONT_B2,C_EGTHDM S_MAX_CONT_B2,"")</f>
        <v>#NAME?</v>
      </c>
      <c r="J24" s="583"/>
      <c r="K24" s="93" t="e" cm="1">
        <f t="array" ref="K24">IF(C_N2R2HDM S_MAX_CONT_B2,C_N2R2HDM S_MAX_CONT_B2,"")</f>
        <v>#NAME?</v>
      </c>
    </row>
    <row r="25" spans="1:18" ht="14.25" x14ac:dyDescent="0.2">
      <c r="A25" s="584" t="e" cm="1">
        <f t="array" ref="A25">IF(C_N1KRatedMC S_MAX_CONT_B2,C_N1KRatedMC S_MAX_CONT_B2,"")</f>
        <v>#NAME?</v>
      </c>
      <c r="B25" s="563"/>
      <c r="C25" s="270" t="s">
        <v>256</v>
      </c>
      <c r="D25" s="450" t="e" cm="1">
        <f t="array" ref="D25">IF(C_FNKRatedTO S_MAX_CONT_B2,C_FNKRatedTO S_MAX_CONT_B2,"")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S_MAX_CONT_B2,C_FNMrgPC S_MAX_CONT_B2,"")</f>
        <v>#NAME?</v>
      </c>
      <c r="E26" s="587"/>
      <c r="F26" s="587"/>
      <c r="G26" s="600"/>
      <c r="H26" s="600"/>
      <c r="I26" s="466" t="e" cm="1">
        <f t="array" ref="I26">IF(C_EGTHDMMrg S_MAX_CONT_B2,C_EGTHDMMrg S_MAX_CONT_B2,"")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S_Take_Off_B2,C_EGTHDMMrg S_Take_Off_B2,"")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S_Take_Off_B2,C_N1ModLvl S_Take_Off_B2,"")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S_Take_Off_B2,C_PoilC S_Take_Off_B2,"")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S_Take_Off_B2,C_TOil S_Take_Off_B2,"")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S_Take_Off_B2,C_TSCAV S_Take_Off_B2,"")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S_Take_Off_B2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S_Take_Off_B2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S_Take_Off_B2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S_Take_Off_B2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S_Take_Off_B2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S_Take_Off_B2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S_Take_Off_B2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S_Take_Off_B2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78" priority="37" stopIfTrue="1">
      <formula>LEN(TRIM(H37))=0</formula>
    </cfRule>
  </conditionalFormatting>
  <conditionalFormatting sqref="H25:I25 H21:I21 F23 F25 C15 H19 H23 K41 K23 K21">
    <cfRule type="containsBlanks" dxfId="377" priority="36" stopIfTrue="1">
      <formula>LEN(TRIM(C15))=0</formula>
    </cfRule>
  </conditionalFormatting>
  <conditionalFormatting sqref="A5 F5 A14 A29 A51">
    <cfRule type="notContainsBlanks" dxfId="376" priority="35" stopIfTrue="1">
      <formula>LEN(TRIM(A5))&gt;0</formula>
    </cfRule>
  </conditionalFormatting>
  <conditionalFormatting sqref="H10">
    <cfRule type="containsBlanks" dxfId="375" priority="34" stopIfTrue="1">
      <formula>LEN(TRIM(H10))=0</formula>
    </cfRule>
  </conditionalFormatting>
  <conditionalFormatting sqref="K26">
    <cfRule type="containsBlanks" dxfId="374" priority="33" stopIfTrue="1">
      <formula>LEN(TRIM(K26))=0</formula>
    </cfRule>
  </conditionalFormatting>
  <conditionalFormatting sqref="K42">
    <cfRule type="containsBlanks" dxfId="373" priority="32" stopIfTrue="1">
      <formula>LEN(TRIM(K42))=0</formula>
    </cfRule>
  </conditionalFormatting>
  <conditionalFormatting sqref="K43">
    <cfRule type="containsBlanks" dxfId="372" priority="31" stopIfTrue="1">
      <formula>LEN(TRIM(K43))=0</formula>
    </cfRule>
  </conditionalFormatting>
  <conditionalFormatting sqref="D19">
    <cfRule type="containsBlanks" dxfId="371" priority="30" stopIfTrue="1">
      <formula>LEN(TRIM(D19))=0</formula>
    </cfRule>
  </conditionalFormatting>
  <conditionalFormatting sqref="E21">
    <cfRule type="containsBlanks" dxfId="370" priority="29" stopIfTrue="1">
      <formula>LEN(TRIM(E21))=0</formula>
    </cfRule>
  </conditionalFormatting>
  <conditionalFormatting sqref="E19">
    <cfRule type="containsBlanks" dxfId="369" priority="28" stopIfTrue="1">
      <formula>LEN(TRIM(E19))=0</formula>
    </cfRule>
  </conditionalFormatting>
  <conditionalFormatting sqref="F19">
    <cfRule type="containsBlanks" dxfId="368" priority="27" stopIfTrue="1">
      <formula>LEN(TRIM(F19))=0</formula>
    </cfRule>
  </conditionalFormatting>
  <conditionalFormatting sqref="F21">
    <cfRule type="containsBlanks" dxfId="367" priority="26" stopIfTrue="1">
      <formula>LEN(TRIM(F21))=0</formula>
    </cfRule>
  </conditionalFormatting>
  <conditionalFormatting sqref="D23">
    <cfRule type="containsBlanks" dxfId="366" priority="25" stopIfTrue="1">
      <formula>LEN(TRIM(D23))=0</formula>
    </cfRule>
  </conditionalFormatting>
  <conditionalFormatting sqref="E23">
    <cfRule type="containsBlanks" dxfId="365" priority="24" stopIfTrue="1">
      <formula>LEN(TRIM(E23))=0</formula>
    </cfRule>
  </conditionalFormatting>
  <conditionalFormatting sqref="K45">
    <cfRule type="containsBlanks" dxfId="364" priority="16" stopIfTrue="1">
      <formula>LEN(TRIM(K45))=0</formula>
    </cfRule>
  </conditionalFormatting>
  <conditionalFormatting sqref="E25">
    <cfRule type="containsBlanks" dxfId="363" priority="23" stopIfTrue="1">
      <formula>LEN(TRIM(E25))=0</formula>
    </cfRule>
  </conditionalFormatting>
  <conditionalFormatting sqref="G19">
    <cfRule type="containsBlanks" dxfId="362" priority="22" stopIfTrue="1">
      <formula>LEN(TRIM(G19))=0</formula>
    </cfRule>
  </conditionalFormatting>
  <conditionalFormatting sqref="G23">
    <cfRule type="containsBlanks" dxfId="361" priority="21" stopIfTrue="1">
      <formula>LEN(TRIM(G23))=0</formula>
    </cfRule>
  </conditionalFormatting>
  <conditionalFormatting sqref="G25">
    <cfRule type="containsBlanks" dxfId="360" priority="20" stopIfTrue="1">
      <formula>LEN(TRIM(G25))=0</formula>
    </cfRule>
  </conditionalFormatting>
  <conditionalFormatting sqref="G21">
    <cfRule type="containsBlanks" dxfId="359" priority="19" stopIfTrue="1">
      <formula>LEN(TRIM(G21))=0</formula>
    </cfRule>
  </conditionalFormatting>
  <conditionalFormatting sqref="K25">
    <cfRule type="containsBlanks" dxfId="358" priority="18" stopIfTrue="1">
      <formula>LEN(TRIM(K25))=0</formula>
    </cfRule>
  </conditionalFormatting>
  <conditionalFormatting sqref="K44">
    <cfRule type="containsBlanks" dxfId="357" priority="17" stopIfTrue="1">
      <formula>LEN(TRIM(K44))=0</formula>
    </cfRule>
  </conditionalFormatting>
  <conditionalFormatting sqref="K46">
    <cfRule type="containsBlanks" dxfId="356" priority="15" stopIfTrue="1">
      <formula>LEN(TRIM(K46))=0</formula>
    </cfRule>
  </conditionalFormatting>
  <conditionalFormatting sqref="K47">
    <cfRule type="containsBlanks" dxfId="355" priority="14" stopIfTrue="1">
      <formula>LEN(TRIM(K47))=0</formula>
    </cfRule>
  </conditionalFormatting>
  <conditionalFormatting sqref="K48">
    <cfRule type="containsBlanks" dxfId="354" priority="13" stopIfTrue="1">
      <formula>LEN(TRIM(K48))=0</formula>
    </cfRule>
  </conditionalFormatting>
  <conditionalFormatting sqref="K49">
    <cfRule type="containsBlanks" dxfId="353" priority="12" stopIfTrue="1">
      <formula>LEN(TRIM(K49))=0</formula>
    </cfRule>
  </conditionalFormatting>
  <conditionalFormatting sqref="H11">
    <cfRule type="containsBlanks" dxfId="352" priority="11" stopIfTrue="1">
      <formula>LEN(TRIM(H11))=0</formula>
    </cfRule>
  </conditionalFormatting>
  <conditionalFormatting sqref="H12">
    <cfRule type="containsBlanks" dxfId="351" priority="10" stopIfTrue="1">
      <formula>LEN(TRIM(H12))=0</formula>
    </cfRule>
  </conditionalFormatting>
  <conditionalFormatting sqref="C9">
    <cfRule type="containsBlanks" dxfId="350" priority="9" stopIfTrue="1">
      <formula>LEN(TRIM(C9))=0</formula>
    </cfRule>
  </conditionalFormatting>
  <conditionalFormatting sqref="H58">
    <cfRule type="containsBlanks" dxfId="349" priority="8" stopIfTrue="1">
      <formula>LEN(TRIM(H58))=0</formula>
    </cfRule>
  </conditionalFormatting>
  <conditionalFormatting sqref="H59">
    <cfRule type="containsBlanks" dxfId="348" priority="7" stopIfTrue="1">
      <formula>LEN(TRIM(H59))=0</formula>
    </cfRule>
  </conditionalFormatting>
  <conditionalFormatting sqref="I52">
    <cfRule type="containsBlanks" dxfId="347" priority="6" stopIfTrue="1">
      <formula>LEN(TRIM(I52))=0</formula>
    </cfRule>
  </conditionalFormatting>
  <conditionalFormatting sqref="H52">
    <cfRule type="containsBlanks" dxfId="346" priority="5" stopIfTrue="1">
      <formula>LEN(TRIM(H52))=0</formula>
    </cfRule>
  </conditionalFormatting>
  <conditionalFormatting sqref="H53">
    <cfRule type="containsBlanks" dxfId="345" priority="4" stopIfTrue="1">
      <formula>LEN(TRIM(H53))=0</formula>
    </cfRule>
  </conditionalFormatting>
  <conditionalFormatting sqref="H54">
    <cfRule type="containsBlanks" dxfId="344" priority="3" stopIfTrue="1">
      <formula>LEN(TRIM(H54))=0</formula>
    </cfRule>
  </conditionalFormatting>
  <conditionalFormatting sqref="K52">
    <cfRule type="containsBlanks" dxfId="343" priority="2" stopIfTrue="1">
      <formula>LEN(TRIM(K52))=0</formula>
    </cfRule>
  </conditionalFormatting>
  <conditionalFormatting sqref="K30">
    <cfRule type="containsBlanks" dxfId="342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E64-E6EC-4F9B-A1E5-91FBB01C1F56}">
  <sheetPr>
    <tabColor rgb="FFFFC000"/>
  </sheetPr>
  <dimension ref="A1:R66"/>
  <sheetViews>
    <sheetView topLeftCell="A4"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S_Take_Off_B3,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S_Take_Off_B3,C_EGTHDLimTO S_Take_Off_B3,"")</f>
        <v>#NAME?</v>
      </c>
      <c r="J19" s="579"/>
      <c r="K19" s="78" t="e" cm="1">
        <f t="array" ref="K19">IF(C_N2HDLim_TO S_Take_Off_B3,C_N2HDLim_TO S_Take_Off_B3,"")</f>
        <v>#NAME?</v>
      </c>
    </row>
    <row r="20" spans="1:18" ht="14.25" x14ac:dyDescent="0.2">
      <c r="A20" s="90"/>
      <c r="B20" s="580" t="e" cm="1">
        <f t="array" ref="B20">IF(C_THD S_Take_Off_B3,C_THD S_Take_Off_B3,"")</f>
        <v>#NAME?</v>
      </c>
      <c r="C20" s="269" t="s">
        <v>255</v>
      </c>
      <c r="D20" s="450" t="e" cm="1">
        <f t="array" ref="D20">IF(C_FNK3M S_Take_Off_B3,C_FNK3M S_Take_Off_B3,"")</f>
        <v>#NAME?</v>
      </c>
      <c r="E20" s="322" t="e" cm="1">
        <f t="array" ref="E20">IF(C_EGTK3M S_Take_Off_B3,C_EGTK3M S_Take_Off_B3,"")</f>
        <v>#NAME?</v>
      </c>
      <c r="F20" s="56" t="e" cm="1">
        <f t="array" ref="F20">IF(C_N2K3M S_Take_Off_B3,C_N2K3M S_Take_Off_B3,"")</f>
        <v>#NAME?</v>
      </c>
      <c r="G20" s="56" t="e" cm="1">
        <f t="array" ref="G20">IF(C_WFK3M S_Take_Off_B3,C_WFK3M S_Take_Off_B3,"")</f>
        <v>#NAME?</v>
      </c>
      <c r="H20" s="322" t="e" cm="1">
        <f t="array" ref="H20">IF(C_SFCK3 S_Take_Off_B3,C_SFCK3 S_Take_Off_B3,"")</f>
        <v>#NAME?</v>
      </c>
      <c r="I20" s="582" t="e" cm="1">
        <f t="array" ref="I20">IF(C_EGTHDM S_Take_Off_B3,C_EGTHDM S_Take_Off_B3,"")</f>
        <v>#NAME?</v>
      </c>
      <c r="J20" s="583"/>
      <c r="K20" s="93" t="e" cm="1">
        <f t="array" ref="K20">IF(C_N2R2HDM S_Take_Off_B3,C_N2R2HDM S_Take_Off_B3,"")</f>
        <v>#NAME?</v>
      </c>
    </row>
    <row r="21" spans="1:18" ht="14.25" x14ac:dyDescent="0.2">
      <c r="A21" s="584" t="e" cm="1">
        <f t="array" ref="A21">IF(C_N1KRatedTO S_Take_Off_B3,C_N1KRatedTO S_Take_Off_B3,"")</f>
        <v>#NAME?</v>
      </c>
      <c r="B21" s="580"/>
      <c r="C21" s="269" t="s">
        <v>256</v>
      </c>
      <c r="D21" s="450" t="e" cm="1">
        <f t="array" ref="D21">IF(C_FNKRatedTO S_Take_Off_B3,C_FNKRatedTO S_Take_Off_B3,"")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S_Take_Off_B3,C_FNMrgPC S_Take_Off_B3,"")</f>
        <v>#NAME?</v>
      </c>
      <c r="E22" s="587"/>
      <c r="F22" s="587"/>
      <c r="G22" s="587"/>
      <c r="H22" s="587"/>
      <c r="I22" s="466" t="e" cm="1">
        <f t="array" ref="I22">IF(C_EGTHDMMrg S_Take_Off_B3,C_EGTHDMMrg S_Take_Off_B3,"")</f>
        <v>#NAME?</v>
      </c>
      <c r="J22" s="467" t="s">
        <v>275</v>
      </c>
      <c r="K22" s="89" t="e" cm="1">
        <f t="array" ref="K22">IF(C_N2HDMMrg S_Take_Off_B3,C_N2HDMMrg S_Take_Off_B3,"")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S_MAX_CONT_B3,C_EGTHDLimMC S_MAX_CONT_B3,"")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S_MAX_CONT_B3,C_THD S_MAX_CONT_B3,"")</f>
        <v>#NAME?</v>
      </c>
      <c r="C24" s="269" t="s">
        <v>255</v>
      </c>
      <c r="D24" s="450" t="e" cm="1">
        <f t="array" ref="D24">IF(C_FNK3M S_MAX_CONT_B3,C_FNK3M S_MAX_CONT_B3,"")</f>
        <v>#NAME?</v>
      </c>
      <c r="E24" s="322" t="e" cm="1">
        <f t="array" ref="E24">IF(C_EGTK3M S_MAX_CONT_B3,C_EGTK3M S_MAX_CONT_B3,"")</f>
        <v>#NAME?</v>
      </c>
      <c r="F24" s="56" t="e" cm="1">
        <f t="array" ref="F24">IF(C_N2K3M S_MAX_CONT_B3,C_N2K3M S_MAX_CONT_B3,"")</f>
        <v>#NAME?</v>
      </c>
      <c r="G24" s="56" t="e" cm="1">
        <f t="array" ref="G24">IF(C_WFK3M S_MAX_CONT_B3,C_WFK3M S_MAX_CONT_B3,"")</f>
        <v>#NAME?</v>
      </c>
      <c r="H24" s="322" t="e" cm="1">
        <f t="array" ref="H24">IF(C_SFCK3 S_MAX_CONT_B3,C_SFCK3 S_MAX_CONT_B3,"")</f>
        <v>#NAME?</v>
      </c>
      <c r="I24" s="582" t="e" cm="1">
        <f t="array" ref="I24">IF(C_EGTHDM S_MAX_CONT_B3,C_EGTHDM S_MAX_CONT_B3,"")</f>
        <v>#NAME?</v>
      </c>
      <c r="J24" s="583"/>
      <c r="K24" s="93" t="e" cm="1">
        <f t="array" ref="K24">IF(C_N2R2HDM S_MAX_CONT_B3,C_N2R2HDM S_MAX_CONT_B3,"")</f>
        <v>#NAME?</v>
      </c>
    </row>
    <row r="25" spans="1:18" ht="14.25" x14ac:dyDescent="0.2">
      <c r="A25" s="584" t="e" cm="1">
        <f t="array" ref="A25">IF(C_N1KRatedMC S_MAX_CONT_B3,C_N1KRatedMC S_MAX_CONT_B3,"")</f>
        <v>#NAME?</v>
      </c>
      <c r="B25" s="563"/>
      <c r="C25" s="270" t="s">
        <v>256</v>
      </c>
      <c r="D25" s="450" t="e" cm="1">
        <f t="array" ref="D25">IF(C_FNKRatedTO S_MAX_CONT_B3,C_FNKRatedTO S_MAX_CONT_B3,"")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S_MAX_CONT_B3,C_FNMrgPC S_MAX_CONT_B3,"")</f>
        <v>#NAME?</v>
      </c>
      <c r="E26" s="587"/>
      <c r="F26" s="587"/>
      <c r="G26" s="600"/>
      <c r="H26" s="600"/>
      <c r="I26" s="466" t="e" cm="1">
        <f t="array" ref="I26">IF(C_EGTHDMMrg S_MAX_CONT_B3,C_EGTHDMMrg S_MAX_CONT_B3,"")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S_Take_Off_B3,C_EGTHDMMrg S_Take_Off_B3,"")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S_Take_Off_B3,C_N1ModLvl S_Take_Off_B3,"")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S_Take_Off_B3,C_PoilC S_Take_Off_B3,"")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S_Take_Off_B3,C_TOil S_Take_Off_B3,"")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S_Take_Off_B3,C_TSCAV S_Take_Off_B3,"")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S_Take_Off_B3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S_Take_Off_B3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S_Take_Off_B3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S_Take_Off_B3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S_Take_Off_B3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S_Take_Off_B3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S_Take_Off_B3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S_Take_Off_B3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41" priority="37" stopIfTrue="1">
      <formula>LEN(TRIM(H37))=0</formula>
    </cfRule>
  </conditionalFormatting>
  <conditionalFormatting sqref="H25:I25 H21:I21 F23 F25 C15 H19 H23 K41 K23 K21">
    <cfRule type="containsBlanks" dxfId="340" priority="36" stopIfTrue="1">
      <formula>LEN(TRIM(C15))=0</formula>
    </cfRule>
  </conditionalFormatting>
  <conditionalFormatting sqref="A5 F5 A14 A29 A51">
    <cfRule type="notContainsBlanks" dxfId="339" priority="35" stopIfTrue="1">
      <formula>LEN(TRIM(A5))&gt;0</formula>
    </cfRule>
  </conditionalFormatting>
  <conditionalFormatting sqref="H10">
    <cfRule type="containsBlanks" dxfId="338" priority="34" stopIfTrue="1">
      <formula>LEN(TRIM(H10))=0</formula>
    </cfRule>
  </conditionalFormatting>
  <conditionalFormatting sqref="K26">
    <cfRule type="containsBlanks" dxfId="337" priority="33" stopIfTrue="1">
      <formula>LEN(TRIM(K26))=0</formula>
    </cfRule>
  </conditionalFormatting>
  <conditionalFormatting sqref="K42">
    <cfRule type="containsBlanks" dxfId="336" priority="32" stopIfTrue="1">
      <formula>LEN(TRIM(K42))=0</formula>
    </cfRule>
  </conditionalFormatting>
  <conditionalFormatting sqref="K43">
    <cfRule type="containsBlanks" dxfId="335" priority="31" stopIfTrue="1">
      <formula>LEN(TRIM(K43))=0</formula>
    </cfRule>
  </conditionalFormatting>
  <conditionalFormatting sqref="D19">
    <cfRule type="containsBlanks" dxfId="334" priority="30" stopIfTrue="1">
      <formula>LEN(TRIM(D19))=0</formula>
    </cfRule>
  </conditionalFormatting>
  <conditionalFormatting sqref="E21">
    <cfRule type="containsBlanks" dxfId="333" priority="29" stopIfTrue="1">
      <formula>LEN(TRIM(E21))=0</formula>
    </cfRule>
  </conditionalFormatting>
  <conditionalFormatting sqref="E19">
    <cfRule type="containsBlanks" dxfId="332" priority="28" stopIfTrue="1">
      <formula>LEN(TRIM(E19))=0</formula>
    </cfRule>
  </conditionalFormatting>
  <conditionalFormatting sqref="F19">
    <cfRule type="containsBlanks" dxfId="331" priority="27" stopIfTrue="1">
      <formula>LEN(TRIM(F19))=0</formula>
    </cfRule>
  </conditionalFormatting>
  <conditionalFormatting sqref="F21">
    <cfRule type="containsBlanks" dxfId="330" priority="26" stopIfTrue="1">
      <formula>LEN(TRIM(F21))=0</formula>
    </cfRule>
  </conditionalFormatting>
  <conditionalFormatting sqref="D23">
    <cfRule type="containsBlanks" dxfId="329" priority="25" stopIfTrue="1">
      <formula>LEN(TRIM(D23))=0</formula>
    </cfRule>
  </conditionalFormatting>
  <conditionalFormatting sqref="E23">
    <cfRule type="containsBlanks" dxfId="328" priority="24" stopIfTrue="1">
      <formula>LEN(TRIM(E23))=0</formula>
    </cfRule>
  </conditionalFormatting>
  <conditionalFormatting sqref="K45">
    <cfRule type="containsBlanks" dxfId="327" priority="16" stopIfTrue="1">
      <formula>LEN(TRIM(K45))=0</formula>
    </cfRule>
  </conditionalFormatting>
  <conditionalFormatting sqref="E25">
    <cfRule type="containsBlanks" dxfId="326" priority="23" stopIfTrue="1">
      <formula>LEN(TRIM(E25))=0</formula>
    </cfRule>
  </conditionalFormatting>
  <conditionalFormatting sqref="G19">
    <cfRule type="containsBlanks" dxfId="325" priority="22" stopIfTrue="1">
      <formula>LEN(TRIM(G19))=0</formula>
    </cfRule>
  </conditionalFormatting>
  <conditionalFormatting sqref="G23">
    <cfRule type="containsBlanks" dxfId="324" priority="21" stopIfTrue="1">
      <formula>LEN(TRIM(G23))=0</formula>
    </cfRule>
  </conditionalFormatting>
  <conditionalFormatting sqref="G25">
    <cfRule type="containsBlanks" dxfId="323" priority="20" stopIfTrue="1">
      <formula>LEN(TRIM(G25))=0</formula>
    </cfRule>
  </conditionalFormatting>
  <conditionalFormatting sqref="G21">
    <cfRule type="containsBlanks" dxfId="322" priority="19" stopIfTrue="1">
      <formula>LEN(TRIM(G21))=0</formula>
    </cfRule>
  </conditionalFormatting>
  <conditionalFormatting sqref="K25">
    <cfRule type="containsBlanks" dxfId="321" priority="18" stopIfTrue="1">
      <formula>LEN(TRIM(K25))=0</formula>
    </cfRule>
  </conditionalFormatting>
  <conditionalFormatting sqref="K44">
    <cfRule type="containsBlanks" dxfId="320" priority="17" stopIfTrue="1">
      <formula>LEN(TRIM(K44))=0</formula>
    </cfRule>
  </conditionalFormatting>
  <conditionalFormatting sqref="K46">
    <cfRule type="containsBlanks" dxfId="319" priority="15" stopIfTrue="1">
      <formula>LEN(TRIM(K46))=0</formula>
    </cfRule>
  </conditionalFormatting>
  <conditionalFormatting sqref="K47">
    <cfRule type="containsBlanks" dxfId="318" priority="14" stopIfTrue="1">
      <formula>LEN(TRIM(K47))=0</formula>
    </cfRule>
  </conditionalFormatting>
  <conditionalFormatting sqref="K48">
    <cfRule type="containsBlanks" dxfId="317" priority="13" stopIfTrue="1">
      <formula>LEN(TRIM(K48))=0</formula>
    </cfRule>
  </conditionalFormatting>
  <conditionalFormatting sqref="K49">
    <cfRule type="containsBlanks" dxfId="316" priority="12" stopIfTrue="1">
      <formula>LEN(TRIM(K49))=0</formula>
    </cfRule>
  </conditionalFormatting>
  <conditionalFormatting sqref="H11">
    <cfRule type="containsBlanks" dxfId="315" priority="11" stopIfTrue="1">
      <formula>LEN(TRIM(H11))=0</formula>
    </cfRule>
  </conditionalFormatting>
  <conditionalFormatting sqref="H12">
    <cfRule type="containsBlanks" dxfId="314" priority="10" stopIfTrue="1">
      <formula>LEN(TRIM(H12))=0</formula>
    </cfRule>
  </conditionalFormatting>
  <conditionalFormatting sqref="C9">
    <cfRule type="containsBlanks" dxfId="313" priority="9" stopIfTrue="1">
      <formula>LEN(TRIM(C9))=0</formula>
    </cfRule>
  </conditionalFormatting>
  <conditionalFormatting sqref="H58">
    <cfRule type="containsBlanks" dxfId="312" priority="8" stopIfTrue="1">
      <formula>LEN(TRIM(H58))=0</formula>
    </cfRule>
  </conditionalFormatting>
  <conditionalFormatting sqref="H59">
    <cfRule type="containsBlanks" dxfId="311" priority="7" stopIfTrue="1">
      <formula>LEN(TRIM(H59))=0</formula>
    </cfRule>
  </conditionalFormatting>
  <conditionalFormatting sqref="I52">
    <cfRule type="containsBlanks" dxfId="310" priority="6" stopIfTrue="1">
      <formula>LEN(TRIM(I52))=0</formula>
    </cfRule>
  </conditionalFormatting>
  <conditionalFormatting sqref="H52">
    <cfRule type="containsBlanks" dxfId="309" priority="5" stopIfTrue="1">
      <formula>LEN(TRIM(H52))=0</formula>
    </cfRule>
  </conditionalFormatting>
  <conditionalFormatting sqref="H53">
    <cfRule type="containsBlanks" dxfId="308" priority="4" stopIfTrue="1">
      <formula>LEN(TRIM(H53))=0</formula>
    </cfRule>
  </conditionalFormatting>
  <conditionalFormatting sqref="H54">
    <cfRule type="containsBlanks" dxfId="307" priority="3" stopIfTrue="1">
      <formula>LEN(TRIM(H54))=0</formula>
    </cfRule>
  </conditionalFormatting>
  <conditionalFormatting sqref="K52">
    <cfRule type="containsBlanks" dxfId="306" priority="2" stopIfTrue="1">
      <formula>LEN(TRIM(K52))=0</formula>
    </cfRule>
  </conditionalFormatting>
  <conditionalFormatting sqref="K30">
    <cfRule type="containsBlanks" dxfId="305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F691-1429-4625-A5B9-17CD03BB0F4D}">
  <sheetPr>
    <tabColor rgb="FFFFC000"/>
  </sheetPr>
  <dimension ref="A1:R66"/>
  <sheetViews>
    <sheetView zoomScaleNormal="100" workbookViewId="0">
      <selection activeCell="E24" sqref="E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S_Take_Off_B4,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S_Take_Off_B4,C_EGTHDLimTO S_Take_Off_B4,"")</f>
        <v>#NAME?</v>
      </c>
      <c r="J19" s="579"/>
      <c r="K19" s="78" t="e" cm="1">
        <f t="array" ref="K19">IF(C_N2HDLim_TO S_Take_Off_B4,C_N2HDLim_TO S_Take_Off_B4,"")</f>
        <v>#NAME?</v>
      </c>
    </row>
    <row r="20" spans="1:18" ht="14.25" x14ac:dyDescent="0.2">
      <c r="A20" s="90"/>
      <c r="B20" s="580" t="e" cm="1">
        <f t="array" ref="B20">IF(C_THD S_Take_Off_B4,C_THD S_Take_Off_B4,"")</f>
        <v>#NAME?</v>
      </c>
      <c r="C20" s="269" t="s">
        <v>255</v>
      </c>
      <c r="D20" s="450" t="e" cm="1">
        <f t="array" ref="D20">IF(C_FNK3M S_Take_Off_B4,C_FNK3M S_Take_Off_B4,"")</f>
        <v>#NAME?</v>
      </c>
      <c r="E20" s="322" t="e" cm="1">
        <f t="array" ref="E20">IF(C_EGTK3M S_Take_Off_B4,C_EGTK3M S_Take_Off_B4,"")</f>
        <v>#NAME?</v>
      </c>
      <c r="F20" s="56" t="e" cm="1">
        <f t="array" ref="F20">IF(C_N2K3M S_Take_Off_B4,C_N2K3M S_Take_Off_B4,"")</f>
        <v>#NAME?</v>
      </c>
      <c r="G20" s="56" t="e" cm="1">
        <f t="array" ref="G20">IF(C_WFK3M S_Take_Off_B4,C_WFK3M S_Take_Off_B4,"")</f>
        <v>#NAME?</v>
      </c>
      <c r="H20" s="322" t="e" cm="1">
        <f t="array" ref="H20">IF(C_SFCK3 S_Take_Off_B4,C_SFCK3 S_Take_Off_B4,"")</f>
        <v>#NAME?</v>
      </c>
      <c r="I20" s="582" t="e" cm="1">
        <f t="array" ref="I20">IF(C_EGTHDM S_Take_Off_B4,C_EGTHDM S_Take_Off_B4,"")</f>
        <v>#NAME?</v>
      </c>
      <c r="J20" s="583"/>
      <c r="K20" s="93" t="e" cm="1">
        <f t="array" ref="K20">IF(C_N2R2HDM S_Take_Off_B4,C_N2R2HDM S_Take_Off_B4,"")</f>
        <v>#NAME?</v>
      </c>
    </row>
    <row r="21" spans="1:18" ht="14.25" x14ac:dyDescent="0.2">
      <c r="A21" s="584" t="e" cm="1">
        <f t="array" ref="A21">IF(C_N1KRatedTO S_Take_Off_B4,C_N1KRatedTO S_Take_Off_B4,"")</f>
        <v>#NAME?</v>
      </c>
      <c r="B21" s="580"/>
      <c r="C21" s="269" t="s">
        <v>256</v>
      </c>
      <c r="D21" s="450" t="e" cm="1">
        <f t="array" ref="D21">IF(C_FNKRatedTO S_Take_Off_B4,C_FNKRatedTO S_Take_Off_B4,"")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S_Take_Off_B4,C_FNMrgPC S_Take_Off_B4,"")</f>
        <v>#NAME?</v>
      </c>
      <c r="E22" s="587"/>
      <c r="F22" s="587"/>
      <c r="G22" s="587"/>
      <c r="H22" s="587"/>
      <c r="I22" s="466" t="e" cm="1">
        <f t="array" ref="I22">IF(C_EGTHDMMrg S_Take_Off_B4,C_EGTHDMMrg S_Take_Off_B4,"")</f>
        <v>#NAME?</v>
      </c>
      <c r="J22" s="467" t="s">
        <v>275</v>
      </c>
      <c r="K22" s="89" t="e" cm="1">
        <f t="array" ref="K22">IF(C_N2HDMMrg S_Take_Off_B4,C_N2HDMMrg S_Take_Off_B4,"")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S_MAX_CONT_B4,C_EGTHDLimMC S_MAX_CONT_B4,"")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S_MAX_CONT_B4,C_THD S_MAX_CONT_B4,"")</f>
        <v>#NAME?</v>
      </c>
      <c r="C24" s="269" t="s">
        <v>255</v>
      </c>
      <c r="D24" s="450" t="e" cm="1">
        <f t="array" ref="D24">IF(C_FNK3M S_MAX_CONT_B4,C_FNK3M S_MAX_CONT_B4,"")</f>
        <v>#NAME?</v>
      </c>
      <c r="E24" s="322" t="e" cm="1">
        <f t="array" ref="E24">IF(C_EGTK3M S_MAX_CONT_B4,C_EGTK3M S_MAX_CONT_B4,"")</f>
        <v>#NAME?</v>
      </c>
      <c r="F24" s="56" t="e" cm="1">
        <f t="array" ref="F24">IF(C_N2K3M S_MAX_CONT_B4,C_N2K3M S_MAX_CONT_B4,"")</f>
        <v>#NAME?</v>
      </c>
      <c r="G24" s="56" t="e" cm="1">
        <f t="array" ref="G24">IF(C_WFK3M S_MAX_CONT_B4,C_WFK3M S_MAX_CONT_B4,"")</f>
        <v>#NAME?</v>
      </c>
      <c r="H24" s="322" t="e" cm="1">
        <f t="array" ref="H24">IF(C_SFCK3 S_MAX_CONT_B4,C_SFCK3 S_MAX_CONT_B4,"")</f>
        <v>#NAME?</v>
      </c>
      <c r="I24" s="582" t="e" cm="1">
        <f t="array" ref="I24">IF(C_EGTHDM S_MAX_CONT_B4,C_EGTHDM S_MAX_CONT_B4,"")</f>
        <v>#NAME?</v>
      </c>
      <c r="J24" s="583"/>
      <c r="K24" s="93" t="e" cm="1">
        <f t="array" ref="K24">IF(C_N2R2HDM S_MAX_CONT_B4,C_N2R2HDM S_MAX_CONT_B4,"")</f>
        <v>#NAME?</v>
      </c>
    </row>
    <row r="25" spans="1:18" ht="14.25" x14ac:dyDescent="0.2">
      <c r="A25" s="584" t="e" cm="1">
        <f t="array" ref="A25">IF(C_N1KRatedMC S_MAX_CONT_B4,C_N1KRatedMC S_MAX_CONT_B4,"")</f>
        <v>#NAME?</v>
      </c>
      <c r="B25" s="563"/>
      <c r="C25" s="270" t="s">
        <v>256</v>
      </c>
      <c r="D25" s="450" t="e" cm="1">
        <f t="array" ref="D25">IF(C_FNKRatedTO S_MAX_CONT_B4,C_FNKRatedTO S_MAX_CONT_B4,"")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S_MAX_CONT_B4,C_FNMrgPC S_MAX_CONT_B4,"")</f>
        <v>#NAME?</v>
      </c>
      <c r="E26" s="587"/>
      <c r="F26" s="587"/>
      <c r="G26" s="600"/>
      <c r="H26" s="600"/>
      <c r="I26" s="466" t="e" cm="1">
        <f t="array" ref="I26">IF(C_EGTHDMMrg S_MAX_CONT_B4,C_EGTHDMMrg S_MAX_CONT_B4,"")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S_Take_Off_B4,C_EGTHDMMrg S_Take_Off_B4,"")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S_Take_Off_B4,C_N1ModLvl S_Take_Off_B4,"")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S_Take_Off_B4,C_PoilC S_Take_Off_B4,"")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S_Take_Off_B4,C_TOil S_Take_Off_B4,"")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S_Take_Off_B4,C_TSCAV S_Take_Off_B4,"")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S_Take_Off_B4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S_Take_Off_B4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S_Take_Off_B4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S_Take_Off_B4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S_Take_Off_B4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S_Take_Off_B4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S_Take_Off_B4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S_Take_Off_B4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04" priority="37" stopIfTrue="1">
      <formula>LEN(TRIM(H37))=0</formula>
    </cfRule>
  </conditionalFormatting>
  <conditionalFormatting sqref="H25:I25 H21:I21 F23 F25 C15 H19 H23 K41 K23 K21">
    <cfRule type="containsBlanks" dxfId="303" priority="36" stopIfTrue="1">
      <formula>LEN(TRIM(C15))=0</formula>
    </cfRule>
  </conditionalFormatting>
  <conditionalFormatting sqref="A5 F5 A14 A29 A51">
    <cfRule type="notContainsBlanks" dxfId="302" priority="35" stopIfTrue="1">
      <formula>LEN(TRIM(A5))&gt;0</formula>
    </cfRule>
  </conditionalFormatting>
  <conditionalFormatting sqref="H10">
    <cfRule type="containsBlanks" dxfId="301" priority="34" stopIfTrue="1">
      <formula>LEN(TRIM(H10))=0</formula>
    </cfRule>
  </conditionalFormatting>
  <conditionalFormatting sqref="K26">
    <cfRule type="containsBlanks" dxfId="300" priority="33" stopIfTrue="1">
      <formula>LEN(TRIM(K26))=0</formula>
    </cfRule>
  </conditionalFormatting>
  <conditionalFormatting sqref="K42">
    <cfRule type="containsBlanks" dxfId="299" priority="32" stopIfTrue="1">
      <formula>LEN(TRIM(K42))=0</formula>
    </cfRule>
  </conditionalFormatting>
  <conditionalFormatting sqref="K43">
    <cfRule type="containsBlanks" dxfId="298" priority="31" stopIfTrue="1">
      <formula>LEN(TRIM(K43))=0</formula>
    </cfRule>
  </conditionalFormatting>
  <conditionalFormatting sqref="D19">
    <cfRule type="containsBlanks" dxfId="297" priority="30" stopIfTrue="1">
      <formula>LEN(TRIM(D19))=0</formula>
    </cfRule>
  </conditionalFormatting>
  <conditionalFormatting sqref="E21">
    <cfRule type="containsBlanks" dxfId="296" priority="29" stopIfTrue="1">
      <formula>LEN(TRIM(E21))=0</formula>
    </cfRule>
  </conditionalFormatting>
  <conditionalFormatting sqref="E19">
    <cfRule type="containsBlanks" dxfId="295" priority="28" stopIfTrue="1">
      <formula>LEN(TRIM(E19))=0</formula>
    </cfRule>
  </conditionalFormatting>
  <conditionalFormatting sqref="F19">
    <cfRule type="containsBlanks" dxfId="294" priority="27" stopIfTrue="1">
      <formula>LEN(TRIM(F19))=0</formula>
    </cfRule>
  </conditionalFormatting>
  <conditionalFormatting sqref="F21">
    <cfRule type="containsBlanks" dxfId="293" priority="26" stopIfTrue="1">
      <formula>LEN(TRIM(F21))=0</formula>
    </cfRule>
  </conditionalFormatting>
  <conditionalFormatting sqref="D23">
    <cfRule type="containsBlanks" dxfId="292" priority="25" stopIfTrue="1">
      <formula>LEN(TRIM(D23))=0</formula>
    </cfRule>
  </conditionalFormatting>
  <conditionalFormatting sqref="E23">
    <cfRule type="containsBlanks" dxfId="291" priority="24" stopIfTrue="1">
      <formula>LEN(TRIM(E23))=0</formula>
    </cfRule>
  </conditionalFormatting>
  <conditionalFormatting sqref="K45">
    <cfRule type="containsBlanks" dxfId="290" priority="16" stopIfTrue="1">
      <formula>LEN(TRIM(K45))=0</formula>
    </cfRule>
  </conditionalFormatting>
  <conditionalFormatting sqref="E25">
    <cfRule type="containsBlanks" dxfId="289" priority="23" stopIfTrue="1">
      <formula>LEN(TRIM(E25))=0</formula>
    </cfRule>
  </conditionalFormatting>
  <conditionalFormatting sqref="G19">
    <cfRule type="containsBlanks" dxfId="288" priority="22" stopIfTrue="1">
      <formula>LEN(TRIM(G19))=0</formula>
    </cfRule>
  </conditionalFormatting>
  <conditionalFormatting sqref="G23">
    <cfRule type="containsBlanks" dxfId="287" priority="21" stopIfTrue="1">
      <formula>LEN(TRIM(G23))=0</formula>
    </cfRule>
  </conditionalFormatting>
  <conditionalFormatting sqref="G25">
    <cfRule type="containsBlanks" dxfId="286" priority="20" stopIfTrue="1">
      <formula>LEN(TRIM(G25))=0</formula>
    </cfRule>
  </conditionalFormatting>
  <conditionalFormatting sqref="G21">
    <cfRule type="containsBlanks" dxfId="285" priority="19" stopIfTrue="1">
      <formula>LEN(TRIM(G21))=0</formula>
    </cfRule>
  </conditionalFormatting>
  <conditionalFormatting sqref="K25">
    <cfRule type="containsBlanks" dxfId="284" priority="18" stopIfTrue="1">
      <formula>LEN(TRIM(K25))=0</formula>
    </cfRule>
  </conditionalFormatting>
  <conditionalFormatting sqref="K44">
    <cfRule type="containsBlanks" dxfId="283" priority="17" stopIfTrue="1">
      <formula>LEN(TRIM(K44))=0</formula>
    </cfRule>
  </conditionalFormatting>
  <conditionalFormatting sqref="K46">
    <cfRule type="containsBlanks" dxfId="282" priority="15" stopIfTrue="1">
      <formula>LEN(TRIM(K46))=0</formula>
    </cfRule>
  </conditionalFormatting>
  <conditionalFormatting sqref="K47">
    <cfRule type="containsBlanks" dxfId="281" priority="14" stopIfTrue="1">
      <formula>LEN(TRIM(K47))=0</formula>
    </cfRule>
  </conditionalFormatting>
  <conditionalFormatting sqref="K48">
    <cfRule type="containsBlanks" dxfId="280" priority="13" stopIfTrue="1">
      <formula>LEN(TRIM(K48))=0</formula>
    </cfRule>
  </conditionalFormatting>
  <conditionalFormatting sqref="K49">
    <cfRule type="containsBlanks" dxfId="279" priority="12" stopIfTrue="1">
      <formula>LEN(TRIM(K49))=0</formula>
    </cfRule>
  </conditionalFormatting>
  <conditionalFormatting sqref="H11">
    <cfRule type="containsBlanks" dxfId="278" priority="11" stopIfTrue="1">
      <formula>LEN(TRIM(H11))=0</formula>
    </cfRule>
  </conditionalFormatting>
  <conditionalFormatting sqref="H12">
    <cfRule type="containsBlanks" dxfId="277" priority="10" stopIfTrue="1">
      <formula>LEN(TRIM(H12))=0</formula>
    </cfRule>
  </conditionalFormatting>
  <conditionalFormatting sqref="C9">
    <cfRule type="containsBlanks" dxfId="276" priority="9" stopIfTrue="1">
      <formula>LEN(TRIM(C9))=0</formula>
    </cfRule>
  </conditionalFormatting>
  <conditionalFormatting sqref="H58">
    <cfRule type="containsBlanks" dxfId="275" priority="8" stopIfTrue="1">
      <formula>LEN(TRIM(H58))=0</formula>
    </cfRule>
  </conditionalFormatting>
  <conditionalFormatting sqref="H59">
    <cfRule type="containsBlanks" dxfId="274" priority="7" stopIfTrue="1">
      <formula>LEN(TRIM(H59))=0</formula>
    </cfRule>
  </conditionalFormatting>
  <conditionalFormatting sqref="I52">
    <cfRule type="containsBlanks" dxfId="273" priority="6" stopIfTrue="1">
      <formula>LEN(TRIM(I52))=0</formula>
    </cfRule>
  </conditionalFormatting>
  <conditionalFormatting sqref="H52">
    <cfRule type="containsBlanks" dxfId="272" priority="5" stopIfTrue="1">
      <formula>LEN(TRIM(H52))=0</formula>
    </cfRule>
  </conditionalFormatting>
  <conditionalFormatting sqref="H53">
    <cfRule type="containsBlanks" dxfId="271" priority="4" stopIfTrue="1">
      <formula>LEN(TRIM(H53))=0</formula>
    </cfRule>
  </conditionalFormatting>
  <conditionalFormatting sqref="H54">
    <cfRule type="containsBlanks" dxfId="270" priority="3" stopIfTrue="1">
      <formula>LEN(TRIM(H54))=0</formula>
    </cfRule>
  </conditionalFormatting>
  <conditionalFormatting sqref="K52">
    <cfRule type="containsBlanks" dxfId="269" priority="2" stopIfTrue="1">
      <formula>LEN(TRIM(K52))=0</formula>
    </cfRule>
  </conditionalFormatting>
  <conditionalFormatting sqref="K30">
    <cfRule type="containsBlanks" dxfId="268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EF4-AD63-410E-B93C-5FE35AB8967C}">
  <sheetPr>
    <tabColor rgb="FFFFC000"/>
  </sheetPr>
  <dimension ref="A1:R66"/>
  <sheetViews>
    <sheetView zoomScaleNormal="100" workbookViewId="0">
      <selection activeCell="D24" sqref="D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S_Take_Off_B5,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S_Take_Off_B5,C_EGTHDLimTO S_Take_Off_B5,"")</f>
        <v>#NAME?</v>
      </c>
      <c r="J19" s="579"/>
      <c r="K19" s="78" t="e" cm="1">
        <f t="array" ref="K19">IF(C_N2HDLim_TO S_Take_Off_B5,C_N2HDLim_TO S_Take_Off_B5,"")</f>
        <v>#NAME?</v>
      </c>
    </row>
    <row r="20" spans="1:18" ht="14.25" x14ac:dyDescent="0.2">
      <c r="A20" s="90"/>
      <c r="B20" s="580" t="e" cm="1">
        <f t="array" ref="B20">IF(C_THD S_Take_Off_B5,C_THD S_Take_Off_B5,"")</f>
        <v>#NAME?</v>
      </c>
      <c r="C20" s="269" t="s">
        <v>255</v>
      </c>
      <c r="D20" s="450" t="e" cm="1">
        <f t="array" ref="D20">IF(C_FNK3M S_Take_Off_B5,C_FNK3M S_Take_Off_B5,"")</f>
        <v>#NAME?</v>
      </c>
      <c r="E20" s="322" t="e" cm="1">
        <f t="array" ref="E20">IF(C_EGTK3M S_Take_Off_B5,C_EGTK3M S_Take_Off_B5,"")</f>
        <v>#NAME?</v>
      </c>
      <c r="F20" s="56" t="e" cm="1">
        <f t="array" ref="F20">IF(C_N2K3M S_Take_Off_B5,C_N2K3M S_Take_Off_B5,"")</f>
        <v>#NAME?</v>
      </c>
      <c r="G20" s="56" t="e" cm="1">
        <f t="array" ref="G20">IF(C_WFK3M S_Take_Off_B5,C_WFK3M S_Take_Off_B5,"")</f>
        <v>#NAME?</v>
      </c>
      <c r="H20" s="322" t="e" cm="1">
        <f t="array" ref="H20">IF(C_SFCK3 S_Take_Off_B5,C_SFCK3 S_Take_Off_B5,"")</f>
        <v>#NAME?</v>
      </c>
      <c r="I20" s="582" t="e" cm="1">
        <f t="array" ref="I20">IF(C_EGTHDM S_Take_Off_B5,C_EGTHDM S_Take_Off_B5,"")</f>
        <v>#NAME?</v>
      </c>
      <c r="J20" s="583"/>
      <c r="K20" s="93" t="e" cm="1">
        <f t="array" ref="K20">IF(C_N2R2HDM S_Take_Off_B5,C_N2R2HDM S_Take_Off_B5,"")</f>
        <v>#NAME?</v>
      </c>
    </row>
    <row r="21" spans="1:18" ht="14.25" x14ac:dyDescent="0.2">
      <c r="A21" s="584" t="e" cm="1">
        <f t="array" ref="A21">IF(C_N1KRatedTO S_Take_Off_B5,C_N1KRatedTO S_Take_Off_B5,"")</f>
        <v>#NAME?</v>
      </c>
      <c r="B21" s="580"/>
      <c r="C21" s="269" t="s">
        <v>256</v>
      </c>
      <c r="D21" s="450" t="e" cm="1">
        <f t="array" ref="D21">IF(C_FNKRatedTO S_Take_Off_B5,C_FNKRatedTO S_Take_Off_B5,"")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S_Take_Off_B5,C_FNMrgPC S_Take_Off_B5,"")</f>
        <v>#NAME?</v>
      </c>
      <c r="E22" s="587"/>
      <c r="F22" s="587"/>
      <c r="G22" s="587"/>
      <c r="H22" s="587"/>
      <c r="I22" s="466" t="e" cm="1">
        <f t="array" ref="I22">IF(C_EGTHDMMrg S_Take_Off_B5,C_EGTHDMMrg S_Take_Off_B5,"")</f>
        <v>#NAME?</v>
      </c>
      <c r="J22" s="467" t="s">
        <v>275</v>
      </c>
      <c r="K22" s="89" t="e" cm="1">
        <f t="array" ref="K22">IF(C_N2HDMMrg S_Take_Off_B5,C_N2HDMMrg S_Take_Off_B5,"")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S_MAX_CONT_B5,C_EGTHDLimMC S_MAX_CONT_B5,"")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S_MAX_CONT_B5,C_THD S_MAX_CONT_B5,"")</f>
        <v>#NAME?</v>
      </c>
      <c r="C24" s="269" t="s">
        <v>255</v>
      </c>
      <c r="D24" s="450" t="e" cm="1">
        <f t="array" ref="D24">IF(C_FNK3M S_MAX_CONT_B5,C_FNK3M S_MAX_CONT_B5,"")</f>
        <v>#NAME?</v>
      </c>
      <c r="E24" s="322" t="e" cm="1">
        <f t="array" ref="E24">IF(C_EGTK3M S_MAX_CONT_B5,C_EGTK3M S_MAX_CONT_B5,"")</f>
        <v>#NAME?</v>
      </c>
      <c r="F24" s="56" t="e" cm="1">
        <f t="array" ref="F24">IF(C_N2K3M S_MAX_CONT_B5,C_N2K3M S_MAX_CONT_B5,"")</f>
        <v>#NAME?</v>
      </c>
      <c r="G24" s="56" t="e" cm="1">
        <f t="array" ref="G24">IF(C_WFK3M S_MAX_CONT_B5,C_WFK3M S_MAX_CONT_B5,"")</f>
        <v>#NAME?</v>
      </c>
      <c r="H24" s="322" t="e" cm="1">
        <f t="array" ref="H24">IF(C_SFCK3 S_MAX_CONT_B5,C_SFCK3 S_MAX_CONT_B5,"")</f>
        <v>#NAME?</v>
      </c>
      <c r="I24" s="582" t="e" cm="1">
        <f t="array" ref="I24">IF(C_EGTHDM S_MAX_CONT_B5,C_EGTHDM S_MAX_CONT_B5,"")</f>
        <v>#NAME?</v>
      </c>
      <c r="J24" s="583"/>
      <c r="K24" s="93" t="e" cm="1">
        <f t="array" ref="K24">IF(C_N2R2HDM S_MAX_CONT_B5,C_N2R2HDM S_MAX_CONT_B5,"")</f>
        <v>#NAME?</v>
      </c>
    </row>
    <row r="25" spans="1:18" ht="14.25" x14ac:dyDescent="0.2">
      <c r="A25" s="584" t="e" cm="1">
        <f t="array" ref="A25">IF(C_N1KRatedMC S_MAX_CONT_B5,C_N1KRatedMC S_MAX_CONT_B5,"")</f>
        <v>#NAME?</v>
      </c>
      <c r="B25" s="563"/>
      <c r="C25" s="270" t="s">
        <v>256</v>
      </c>
      <c r="D25" s="450" t="e" cm="1">
        <f t="array" ref="D25">IF(C_FNKRatedTO S_MAX_CONT_B5,C_FNKRatedTO S_MAX_CONT_B5,"")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S_MAX_CONT_B5,C_FNMrgPC S_MAX_CONT_B5,"")</f>
        <v>#NAME?</v>
      </c>
      <c r="E26" s="587"/>
      <c r="F26" s="587"/>
      <c r="G26" s="600"/>
      <c r="H26" s="600"/>
      <c r="I26" s="466" t="e" cm="1">
        <f t="array" ref="I26">IF(C_EGTHDMMrg S_MAX_CONT_B5,C_EGTHDMMrg S_MAX_CONT_B5,"")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S_Take_Off_B5,C_EGTHDMMrg S_Take_Off_B5,"")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S_Take_Off_B5,C_N1ModLvl S_Take_Off_B5,"")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S_Take_Off_B5,C_PoilC S_Take_Off_B5,"")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S_Take_Off_B5,C_TOil S_Take_Off_B5,"")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S_Take_Off_B5,C_TSCAV S_Take_Off_B5,"")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S_Take_Off_B5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S_Take_Off_B5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S_Take_Off_B5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S_Take_Off_B5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S_Take_Off_B5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S_Take_Off_B5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S_Take_Off_B5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S_Take_Off_B5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267" priority="37" stopIfTrue="1">
      <formula>LEN(TRIM(H37))=0</formula>
    </cfRule>
  </conditionalFormatting>
  <conditionalFormatting sqref="H25:I25 H21:I21 F23 F25 C15 H19 H23 K41 K23 K21">
    <cfRule type="containsBlanks" dxfId="266" priority="36" stopIfTrue="1">
      <formula>LEN(TRIM(C15))=0</formula>
    </cfRule>
  </conditionalFormatting>
  <conditionalFormatting sqref="A5 F5 A14 A29 A51">
    <cfRule type="notContainsBlanks" dxfId="265" priority="35" stopIfTrue="1">
      <formula>LEN(TRIM(A5))&gt;0</formula>
    </cfRule>
  </conditionalFormatting>
  <conditionalFormatting sqref="H10">
    <cfRule type="containsBlanks" dxfId="264" priority="34" stopIfTrue="1">
      <formula>LEN(TRIM(H10))=0</formula>
    </cfRule>
  </conditionalFormatting>
  <conditionalFormatting sqref="K26">
    <cfRule type="containsBlanks" dxfId="263" priority="33" stopIfTrue="1">
      <formula>LEN(TRIM(K26))=0</formula>
    </cfRule>
  </conditionalFormatting>
  <conditionalFormatting sqref="K42">
    <cfRule type="containsBlanks" dxfId="262" priority="32" stopIfTrue="1">
      <formula>LEN(TRIM(K42))=0</formula>
    </cfRule>
  </conditionalFormatting>
  <conditionalFormatting sqref="K43">
    <cfRule type="containsBlanks" dxfId="261" priority="31" stopIfTrue="1">
      <formula>LEN(TRIM(K43))=0</formula>
    </cfRule>
  </conditionalFormatting>
  <conditionalFormatting sqref="D19">
    <cfRule type="containsBlanks" dxfId="260" priority="30" stopIfTrue="1">
      <formula>LEN(TRIM(D19))=0</formula>
    </cfRule>
  </conditionalFormatting>
  <conditionalFormatting sqref="E21">
    <cfRule type="containsBlanks" dxfId="259" priority="29" stopIfTrue="1">
      <formula>LEN(TRIM(E21))=0</formula>
    </cfRule>
  </conditionalFormatting>
  <conditionalFormatting sqref="E19">
    <cfRule type="containsBlanks" dxfId="258" priority="28" stopIfTrue="1">
      <formula>LEN(TRIM(E19))=0</formula>
    </cfRule>
  </conditionalFormatting>
  <conditionalFormatting sqref="F19">
    <cfRule type="containsBlanks" dxfId="257" priority="27" stopIfTrue="1">
      <formula>LEN(TRIM(F19))=0</formula>
    </cfRule>
  </conditionalFormatting>
  <conditionalFormatting sqref="F21">
    <cfRule type="containsBlanks" dxfId="256" priority="26" stopIfTrue="1">
      <formula>LEN(TRIM(F21))=0</formula>
    </cfRule>
  </conditionalFormatting>
  <conditionalFormatting sqref="D23">
    <cfRule type="containsBlanks" dxfId="255" priority="25" stopIfTrue="1">
      <formula>LEN(TRIM(D23))=0</formula>
    </cfRule>
  </conditionalFormatting>
  <conditionalFormatting sqref="E23">
    <cfRule type="containsBlanks" dxfId="254" priority="24" stopIfTrue="1">
      <formula>LEN(TRIM(E23))=0</formula>
    </cfRule>
  </conditionalFormatting>
  <conditionalFormatting sqref="K45">
    <cfRule type="containsBlanks" dxfId="253" priority="16" stopIfTrue="1">
      <formula>LEN(TRIM(K45))=0</formula>
    </cfRule>
  </conditionalFormatting>
  <conditionalFormatting sqref="E25">
    <cfRule type="containsBlanks" dxfId="252" priority="23" stopIfTrue="1">
      <formula>LEN(TRIM(E25))=0</formula>
    </cfRule>
  </conditionalFormatting>
  <conditionalFormatting sqref="G19">
    <cfRule type="containsBlanks" dxfId="251" priority="22" stopIfTrue="1">
      <formula>LEN(TRIM(G19))=0</formula>
    </cfRule>
  </conditionalFormatting>
  <conditionalFormatting sqref="G23">
    <cfRule type="containsBlanks" dxfId="250" priority="21" stopIfTrue="1">
      <formula>LEN(TRIM(G23))=0</formula>
    </cfRule>
  </conditionalFormatting>
  <conditionalFormatting sqref="G25">
    <cfRule type="containsBlanks" dxfId="249" priority="20" stopIfTrue="1">
      <formula>LEN(TRIM(G25))=0</formula>
    </cfRule>
  </conditionalFormatting>
  <conditionalFormatting sqref="G21">
    <cfRule type="containsBlanks" dxfId="248" priority="19" stopIfTrue="1">
      <formula>LEN(TRIM(G21))=0</formula>
    </cfRule>
  </conditionalFormatting>
  <conditionalFormatting sqref="K25">
    <cfRule type="containsBlanks" dxfId="247" priority="18" stopIfTrue="1">
      <formula>LEN(TRIM(K25))=0</formula>
    </cfRule>
  </conditionalFormatting>
  <conditionalFormatting sqref="K44">
    <cfRule type="containsBlanks" dxfId="246" priority="17" stopIfTrue="1">
      <formula>LEN(TRIM(K44))=0</formula>
    </cfRule>
  </conditionalFormatting>
  <conditionalFormatting sqref="K46">
    <cfRule type="containsBlanks" dxfId="245" priority="15" stopIfTrue="1">
      <formula>LEN(TRIM(K46))=0</formula>
    </cfRule>
  </conditionalFormatting>
  <conditionalFormatting sqref="K47">
    <cfRule type="containsBlanks" dxfId="244" priority="14" stopIfTrue="1">
      <formula>LEN(TRIM(K47))=0</formula>
    </cfRule>
  </conditionalFormatting>
  <conditionalFormatting sqref="K48">
    <cfRule type="containsBlanks" dxfId="243" priority="13" stopIfTrue="1">
      <formula>LEN(TRIM(K48))=0</formula>
    </cfRule>
  </conditionalFormatting>
  <conditionalFormatting sqref="K49">
    <cfRule type="containsBlanks" dxfId="242" priority="12" stopIfTrue="1">
      <formula>LEN(TRIM(K49))=0</formula>
    </cfRule>
  </conditionalFormatting>
  <conditionalFormatting sqref="H11">
    <cfRule type="containsBlanks" dxfId="241" priority="11" stopIfTrue="1">
      <formula>LEN(TRIM(H11))=0</formula>
    </cfRule>
  </conditionalFormatting>
  <conditionalFormatting sqref="H12">
    <cfRule type="containsBlanks" dxfId="240" priority="10" stopIfTrue="1">
      <formula>LEN(TRIM(H12))=0</formula>
    </cfRule>
  </conditionalFormatting>
  <conditionalFormatting sqref="C9">
    <cfRule type="containsBlanks" dxfId="239" priority="9" stopIfTrue="1">
      <formula>LEN(TRIM(C9))=0</formula>
    </cfRule>
  </conditionalFormatting>
  <conditionalFormatting sqref="H58">
    <cfRule type="containsBlanks" dxfId="238" priority="8" stopIfTrue="1">
      <formula>LEN(TRIM(H58))=0</formula>
    </cfRule>
  </conditionalFormatting>
  <conditionalFormatting sqref="H59">
    <cfRule type="containsBlanks" dxfId="237" priority="7" stopIfTrue="1">
      <formula>LEN(TRIM(H59))=0</formula>
    </cfRule>
  </conditionalFormatting>
  <conditionalFormatting sqref="I52">
    <cfRule type="containsBlanks" dxfId="236" priority="6" stopIfTrue="1">
      <formula>LEN(TRIM(I52))=0</formula>
    </cfRule>
  </conditionalFormatting>
  <conditionalFormatting sqref="H52">
    <cfRule type="containsBlanks" dxfId="235" priority="5" stopIfTrue="1">
      <formula>LEN(TRIM(H52))=0</formula>
    </cfRule>
  </conditionalFormatting>
  <conditionalFormatting sqref="H53">
    <cfRule type="containsBlanks" dxfId="234" priority="4" stopIfTrue="1">
      <formula>LEN(TRIM(H53))=0</formula>
    </cfRule>
  </conditionalFormatting>
  <conditionalFormatting sqref="H54">
    <cfRule type="containsBlanks" dxfId="233" priority="3" stopIfTrue="1">
      <formula>LEN(TRIM(H54))=0</formula>
    </cfRule>
  </conditionalFormatting>
  <conditionalFormatting sqref="K52">
    <cfRule type="containsBlanks" dxfId="232" priority="2" stopIfTrue="1">
      <formula>LEN(TRIM(K52))=0</formula>
    </cfRule>
  </conditionalFormatting>
  <conditionalFormatting sqref="K30">
    <cfRule type="containsBlanks" dxfId="231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C63-85DF-4747-9C38-6FC941BD224C}">
  <sheetPr>
    <tabColor rgb="FFFFC000"/>
  </sheetPr>
  <dimension ref="A1:R66"/>
  <sheetViews>
    <sheetView topLeftCell="A13" zoomScaleNormal="100" workbookViewId="0">
      <selection activeCell="E24" sqref="E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S_Take_Off_B6,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S_Take_Off_B6,C_EGTHDLimTO S_Take_Off_B6,"")</f>
        <v>#NAME?</v>
      </c>
      <c r="J19" s="579"/>
      <c r="K19" s="78" t="e" cm="1">
        <f t="array" ref="K19">IF(C_N2HDLim_TO S_Take_Off_B6,C_N2HDLim_TO S_Take_Off_B6,"")</f>
        <v>#NAME?</v>
      </c>
    </row>
    <row r="20" spans="1:18" ht="14.25" x14ac:dyDescent="0.2">
      <c r="A20" s="90"/>
      <c r="B20" s="580" t="e" cm="1">
        <f t="array" ref="B20">IF(C_THD S_Take_Off_B6,C_THD S_Take_Off_B6,"")</f>
        <v>#NAME?</v>
      </c>
      <c r="C20" s="269" t="s">
        <v>255</v>
      </c>
      <c r="D20" s="450" t="e" cm="1">
        <f t="array" ref="D20">IF(C_FNK3M S_Take_Off_B6,C_FNK3M S_Take_Off_B6,"")</f>
        <v>#NAME?</v>
      </c>
      <c r="E20" s="322" t="e" cm="1">
        <f t="array" ref="E20">IF(C_EGTK3M S_Take_Off_B6,C_EGTK3M S_Take_Off_B6,"")</f>
        <v>#NAME?</v>
      </c>
      <c r="F20" s="56" t="e" cm="1">
        <f t="array" ref="F20">IF(C_N2K3M S_Take_Off_B6,C_N2K3M S_Take_Off_B6,"")</f>
        <v>#NAME?</v>
      </c>
      <c r="G20" s="56" t="e" cm="1">
        <f t="array" ref="G20">IF(C_WFK3M S_Take_Off_B6,C_WFK3M S_Take_Off_B6,"")</f>
        <v>#NAME?</v>
      </c>
      <c r="H20" s="322" t="e" cm="1">
        <f t="array" ref="H20">IF(C_SFCK3 S_Take_Off_B6,C_SFCK3 S_Take_Off_B6,"")</f>
        <v>#NAME?</v>
      </c>
      <c r="I20" s="582" t="e" cm="1">
        <f t="array" ref="I20">IF(C_EGTHDM S_Take_Off_B6,C_EGTHDM S_Take_Off_B6,"")</f>
        <v>#NAME?</v>
      </c>
      <c r="J20" s="583"/>
      <c r="K20" s="93" t="e" cm="1">
        <f t="array" ref="K20">IF(C_N2R2HDM S_Take_Off_B6,C_N2R2HDM S_Take_Off_B6,"")</f>
        <v>#NAME?</v>
      </c>
    </row>
    <row r="21" spans="1:18" ht="14.25" x14ac:dyDescent="0.2">
      <c r="A21" s="584" t="e" cm="1">
        <f t="array" ref="A21">IF(C_N1KRatedTO S_Take_Off_B6,C_N1KRatedTO S_Take_Off_B6,"")</f>
        <v>#NAME?</v>
      </c>
      <c r="B21" s="580"/>
      <c r="C21" s="269" t="s">
        <v>256</v>
      </c>
      <c r="D21" s="450" t="e" cm="1">
        <f t="array" ref="D21">IF(C_FNKRatedTO S_Take_Off_B6,C_FNKRatedTO S_Take_Off_B6,"")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S_Take_Off_B6,C_FNMrgPC S_Take_Off_B6,"")</f>
        <v>#NAME?</v>
      </c>
      <c r="E22" s="587"/>
      <c r="F22" s="587"/>
      <c r="G22" s="587"/>
      <c r="H22" s="587"/>
      <c r="I22" s="466" t="e" cm="1">
        <f t="array" ref="I22">IF(C_EGTHDMMrg S_Take_Off_B6,C_EGTHDMMrg S_Take_Off_B6,"")</f>
        <v>#NAME?</v>
      </c>
      <c r="J22" s="467" t="s">
        <v>275</v>
      </c>
      <c r="K22" s="89" t="e" cm="1">
        <f t="array" ref="K22">IF(C_N2HDMMrg S_Take_Off_B6,C_N2HDMMrg S_Take_Off_B6,"")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S_MAX_CONT_B6,C_EGTHDLimMC S_MAX_CONT_B6,"")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S_MAX_CONT_B6,C_THD S_MAX_CONT_B6,"")</f>
        <v>#NAME?</v>
      </c>
      <c r="C24" s="269" t="s">
        <v>255</v>
      </c>
      <c r="D24" s="450" t="e" cm="1">
        <f t="array" ref="D24">IF(C_FNK3M S_MAX_CONT_B6,C_FNK3M S_MAX_CONT_B6,"")</f>
        <v>#NAME?</v>
      </c>
      <c r="E24" s="322" t="e" cm="1">
        <f t="array" ref="E24">IF(C_EGTK3M S_MAX_CONT_B6,C_EGTK3M S_MAX_CONT_B6,"")</f>
        <v>#NAME?</v>
      </c>
      <c r="F24" s="56" t="e" cm="1">
        <f t="array" ref="F24">IF(C_N2K3M S_MAX_CONT_B6,C_N2K3M S_MAX_CONT_B6,"")</f>
        <v>#NAME?</v>
      </c>
      <c r="G24" s="56" t="e" cm="1">
        <f t="array" ref="G24">IF(C_WFK3M S_MAX_CONT_B6,C_WFK3M S_MAX_CONT_B6,"")</f>
        <v>#NAME?</v>
      </c>
      <c r="H24" s="322" t="e" cm="1">
        <f t="array" ref="H24">IF(C_SFCK3 S_MAX_CONT_B6,C_SFCK3 S_MAX_CONT_B6,"")</f>
        <v>#NAME?</v>
      </c>
      <c r="I24" s="582" t="e" cm="1">
        <f t="array" ref="I24">IF(C_EGTHDM S_MAX_CONT_B6,C_EGTHDM S_MAX_CONT_B6,"")</f>
        <v>#NAME?</v>
      </c>
      <c r="J24" s="583"/>
      <c r="K24" s="93" t="e" cm="1">
        <f t="array" ref="K24">IF(C_N2R2HDM S_MAX_CONT_B6,C_N2R2HDM S_MAX_CONT_B6,"")</f>
        <v>#NAME?</v>
      </c>
    </row>
    <row r="25" spans="1:18" ht="14.25" x14ac:dyDescent="0.2">
      <c r="A25" s="584" t="e" cm="1">
        <f t="array" ref="A25">IF(C_N1KRatedMC S_MAX_CONT_B6,C_N1KRatedMC S_MAX_CONT_B6,"")</f>
        <v>#NAME?</v>
      </c>
      <c r="B25" s="563"/>
      <c r="C25" s="270" t="s">
        <v>256</v>
      </c>
      <c r="D25" s="450" t="e" cm="1">
        <f t="array" ref="D25">IF(C_FNKRatedTO S_MAX_CONT_B6,C_FNKRatedTO S_MAX_CONT_B6,"")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S_MAX_CONT_B6,C_FNMrgPC S_MAX_CONT_B6,"")</f>
        <v>#NAME?</v>
      </c>
      <c r="E26" s="587"/>
      <c r="F26" s="587"/>
      <c r="G26" s="600"/>
      <c r="H26" s="600"/>
      <c r="I26" s="466" t="e" cm="1">
        <f t="array" ref="I26">IF(C_EGTHDMMrg S_MAX_CONT_B6,C_EGTHDMMrg S_MAX_CONT_B6,"")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S_Take_Off_B6,C_EGTHDMMrg S_Take_Off_B6,"")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S_Take_Off_B6,C_N1ModLvl S_Take_Off_B6,"")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S_Take_Off_B6,C_PoilC S_Take_Off_B6,"")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S_Take_Off_B6,C_TOil S_Take_Off_B6,"")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S_Take_Off_B6,C_TSCAV S_Take_Off_B6,"")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S_Take_Off_B6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S_Take_Off_B6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S_Take_Off_B6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S_Take_Off_B6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S_Take_Off_B6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S_Take_Off_B6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S_Take_Off_B6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S_Take_Off_B6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230" priority="37" stopIfTrue="1">
      <formula>LEN(TRIM(H37))=0</formula>
    </cfRule>
  </conditionalFormatting>
  <conditionalFormatting sqref="H25:I25 H21:I21 F23 F25 C15 H19 H23 K41 K23 K21">
    <cfRule type="containsBlanks" dxfId="229" priority="36" stopIfTrue="1">
      <formula>LEN(TRIM(C15))=0</formula>
    </cfRule>
  </conditionalFormatting>
  <conditionalFormatting sqref="A5 F5 A14 A29 A51">
    <cfRule type="notContainsBlanks" dxfId="228" priority="35" stopIfTrue="1">
      <formula>LEN(TRIM(A5))&gt;0</formula>
    </cfRule>
  </conditionalFormatting>
  <conditionalFormatting sqref="H10">
    <cfRule type="containsBlanks" dxfId="227" priority="34" stopIfTrue="1">
      <formula>LEN(TRIM(H10))=0</formula>
    </cfRule>
  </conditionalFormatting>
  <conditionalFormatting sqref="K26">
    <cfRule type="containsBlanks" dxfId="226" priority="33" stopIfTrue="1">
      <formula>LEN(TRIM(K26))=0</formula>
    </cfRule>
  </conditionalFormatting>
  <conditionalFormatting sqref="K42">
    <cfRule type="containsBlanks" dxfId="225" priority="32" stopIfTrue="1">
      <formula>LEN(TRIM(K42))=0</formula>
    </cfRule>
  </conditionalFormatting>
  <conditionalFormatting sqref="K43">
    <cfRule type="containsBlanks" dxfId="224" priority="31" stopIfTrue="1">
      <formula>LEN(TRIM(K43))=0</formula>
    </cfRule>
  </conditionalFormatting>
  <conditionalFormatting sqref="D19">
    <cfRule type="containsBlanks" dxfId="223" priority="30" stopIfTrue="1">
      <formula>LEN(TRIM(D19))=0</formula>
    </cfRule>
  </conditionalFormatting>
  <conditionalFormatting sqref="E21">
    <cfRule type="containsBlanks" dxfId="222" priority="29" stopIfTrue="1">
      <formula>LEN(TRIM(E21))=0</formula>
    </cfRule>
  </conditionalFormatting>
  <conditionalFormatting sqref="E19">
    <cfRule type="containsBlanks" dxfId="221" priority="28" stopIfTrue="1">
      <formula>LEN(TRIM(E19))=0</formula>
    </cfRule>
  </conditionalFormatting>
  <conditionalFormatting sqref="F19">
    <cfRule type="containsBlanks" dxfId="220" priority="27" stopIfTrue="1">
      <formula>LEN(TRIM(F19))=0</formula>
    </cfRule>
  </conditionalFormatting>
  <conditionalFormatting sqref="F21">
    <cfRule type="containsBlanks" dxfId="219" priority="26" stopIfTrue="1">
      <formula>LEN(TRIM(F21))=0</formula>
    </cfRule>
  </conditionalFormatting>
  <conditionalFormatting sqref="D23">
    <cfRule type="containsBlanks" dxfId="218" priority="25" stopIfTrue="1">
      <formula>LEN(TRIM(D23))=0</formula>
    </cfRule>
  </conditionalFormatting>
  <conditionalFormatting sqref="E23">
    <cfRule type="containsBlanks" dxfId="217" priority="24" stopIfTrue="1">
      <formula>LEN(TRIM(E23))=0</formula>
    </cfRule>
  </conditionalFormatting>
  <conditionalFormatting sqref="K45">
    <cfRule type="containsBlanks" dxfId="216" priority="16" stopIfTrue="1">
      <formula>LEN(TRIM(K45))=0</formula>
    </cfRule>
  </conditionalFormatting>
  <conditionalFormatting sqref="E25">
    <cfRule type="containsBlanks" dxfId="215" priority="23" stopIfTrue="1">
      <formula>LEN(TRIM(E25))=0</formula>
    </cfRule>
  </conditionalFormatting>
  <conditionalFormatting sqref="G19">
    <cfRule type="containsBlanks" dxfId="214" priority="22" stopIfTrue="1">
      <formula>LEN(TRIM(G19))=0</formula>
    </cfRule>
  </conditionalFormatting>
  <conditionalFormatting sqref="G23">
    <cfRule type="containsBlanks" dxfId="213" priority="21" stopIfTrue="1">
      <formula>LEN(TRIM(G23))=0</formula>
    </cfRule>
  </conditionalFormatting>
  <conditionalFormatting sqref="G25">
    <cfRule type="containsBlanks" dxfId="212" priority="20" stopIfTrue="1">
      <formula>LEN(TRIM(G25))=0</formula>
    </cfRule>
  </conditionalFormatting>
  <conditionalFormatting sqref="G21">
    <cfRule type="containsBlanks" dxfId="211" priority="19" stopIfTrue="1">
      <formula>LEN(TRIM(G21))=0</formula>
    </cfRule>
  </conditionalFormatting>
  <conditionalFormatting sqref="K25">
    <cfRule type="containsBlanks" dxfId="210" priority="18" stopIfTrue="1">
      <formula>LEN(TRIM(K25))=0</formula>
    </cfRule>
  </conditionalFormatting>
  <conditionalFormatting sqref="K44">
    <cfRule type="containsBlanks" dxfId="209" priority="17" stopIfTrue="1">
      <formula>LEN(TRIM(K44))=0</formula>
    </cfRule>
  </conditionalFormatting>
  <conditionalFormatting sqref="K46">
    <cfRule type="containsBlanks" dxfId="208" priority="15" stopIfTrue="1">
      <formula>LEN(TRIM(K46))=0</formula>
    </cfRule>
  </conditionalFormatting>
  <conditionalFormatting sqref="K47">
    <cfRule type="containsBlanks" dxfId="207" priority="14" stopIfTrue="1">
      <formula>LEN(TRIM(K47))=0</formula>
    </cfRule>
  </conditionalFormatting>
  <conditionalFormatting sqref="K48">
    <cfRule type="containsBlanks" dxfId="206" priority="13" stopIfTrue="1">
      <formula>LEN(TRIM(K48))=0</formula>
    </cfRule>
  </conditionalFormatting>
  <conditionalFormatting sqref="K49">
    <cfRule type="containsBlanks" dxfId="205" priority="12" stopIfTrue="1">
      <formula>LEN(TRIM(K49))=0</formula>
    </cfRule>
  </conditionalFormatting>
  <conditionalFormatting sqref="H11">
    <cfRule type="containsBlanks" dxfId="204" priority="11" stopIfTrue="1">
      <formula>LEN(TRIM(H11))=0</formula>
    </cfRule>
  </conditionalFormatting>
  <conditionalFormatting sqref="H12">
    <cfRule type="containsBlanks" dxfId="203" priority="10" stopIfTrue="1">
      <formula>LEN(TRIM(H12))=0</formula>
    </cfRule>
  </conditionalFormatting>
  <conditionalFormatting sqref="C9">
    <cfRule type="containsBlanks" dxfId="202" priority="9" stopIfTrue="1">
      <formula>LEN(TRIM(C9))=0</formula>
    </cfRule>
  </conditionalFormatting>
  <conditionalFormatting sqref="H58">
    <cfRule type="containsBlanks" dxfId="201" priority="8" stopIfTrue="1">
      <formula>LEN(TRIM(H58))=0</formula>
    </cfRule>
  </conditionalFormatting>
  <conditionalFormatting sqref="H59">
    <cfRule type="containsBlanks" dxfId="200" priority="7" stopIfTrue="1">
      <formula>LEN(TRIM(H59))=0</formula>
    </cfRule>
  </conditionalFormatting>
  <conditionalFormatting sqref="I52">
    <cfRule type="containsBlanks" dxfId="199" priority="6" stopIfTrue="1">
      <formula>LEN(TRIM(I52))=0</formula>
    </cfRule>
  </conditionalFormatting>
  <conditionalFormatting sqref="H52">
    <cfRule type="containsBlanks" dxfId="198" priority="5" stopIfTrue="1">
      <formula>LEN(TRIM(H52))=0</formula>
    </cfRule>
  </conditionalFormatting>
  <conditionalFormatting sqref="H53">
    <cfRule type="containsBlanks" dxfId="197" priority="4" stopIfTrue="1">
      <formula>LEN(TRIM(H53))=0</formula>
    </cfRule>
  </conditionalFormatting>
  <conditionalFormatting sqref="H54">
    <cfRule type="containsBlanks" dxfId="196" priority="3" stopIfTrue="1">
      <formula>LEN(TRIM(H54))=0</formula>
    </cfRule>
  </conditionalFormatting>
  <conditionalFormatting sqref="K52">
    <cfRule type="containsBlanks" dxfId="195" priority="2" stopIfTrue="1">
      <formula>LEN(TRIM(K52))=0</formula>
    </cfRule>
  </conditionalFormatting>
  <conditionalFormatting sqref="K30">
    <cfRule type="containsBlanks" dxfId="194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B63-2B8E-4B79-9453-69AC699598AC}">
  <sheetPr>
    <tabColor rgb="FFFFC000"/>
  </sheetPr>
  <dimension ref="A1:R66"/>
  <sheetViews>
    <sheetView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S_Take_Off_B7,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S_Take_Off_B7,C_EGTHDLimTO S_Take_Off_B7,"")</f>
        <v>#NAME?</v>
      </c>
      <c r="J19" s="579"/>
      <c r="K19" s="78" t="e" cm="1">
        <f t="array" ref="K19">IF(C_N2HDLim_TO S_Take_Off_B7,C_N2HDLim_TO S_Take_Off_B7,"")</f>
        <v>#NAME?</v>
      </c>
    </row>
    <row r="20" spans="1:18" ht="14.25" x14ac:dyDescent="0.2">
      <c r="A20" s="90"/>
      <c r="B20" s="580" t="e" cm="1">
        <f t="array" ref="B20">IF(C_THD S_Take_Off_B7,C_THD S_Take_Off_B7,"")</f>
        <v>#NAME?</v>
      </c>
      <c r="C20" s="269" t="s">
        <v>255</v>
      </c>
      <c r="D20" s="450" t="e" cm="1">
        <f t="array" ref="D20">IF(C_FNK3M S_Take_Off_B7,C_FNK3M S_Take_Off_B7,"")</f>
        <v>#NAME?</v>
      </c>
      <c r="E20" s="322" t="e" cm="1">
        <f t="array" ref="E20">IF(C_EGTK3M S_Take_Off_B7,C_EGTK3M S_Take_Off_B7,"")</f>
        <v>#NAME?</v>
      </c>
      <c r="F20" s="56" t="e" cm="1">
        <f t="array" ref="F20">IF(C_N2K3M S_Take_Off_B7,C_N2K3M S_Take_Off_B7,"")</f>
        <v>#NAME?</v>
      </c>
      <c r="G20" s="56" t="e" cm="1">
        <f t="array" ref="G20">IF(C_WFK3M S_Take_Off_B7,C_WFK3M S_Take_Off_B7,"")</f>
        <v>#NAME?</v>
      </c>
      <c r="H20" s="322" t="e" cm="1">
        <f t="array" ref="H20">IF(C_SFCK3 S_Take_Off_B7,C_SFCK3 S_Take_Off_B7,"")</f>
        <v>#NAME?</v>
      </c>
      <c r="I20" s="582" t="e" cm="1">
        <f t="array" ref="I20">IF(C_EGTHDM S_Take_Off_B7,C_EGTHDM S_Take_Off_B7,"")</f>
        <v>#NAME?</v>
      </c>
      <c r="J20" s="583"/>
      <c r="K20" s="93" t="e" cm="1">
        <f t="array" ref="K20">IF(C_N2R2HDM S_Take_Off_B7,C_N2R2HDM S_Take_Off_B7,"")</f>
        <v>#NAME?</v>
      </c>
    </row>
    <row r="21" spans="1:18" ht="14.25" x14ac:dyDescent="0.2">
      <c r="A21" s="584" t="e" cm="1">
        <f t="array" ref="A21">IF(C_N1KRatedTO S_Take_Off_B7,C_N1KRatedTO S_Take_Off_B7,"")</f>
        <v>#NAME?</v>
      </c>
      <c r="B21" s="580"/>
      <c r="C21" s="269" t="s">
        <v>256</v>
      </c>
      <c r="D21" s="450" t="e" cm="1">
        <f t="array" ref="D21">IF(C_FNKRatedTO S_Take_Off_B7,C_FNKRatedTO S_Take_Off_B7,"")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S_Take_Off_B7,C_FNMrgPC S_Take_Off_B7,"")</f>
        <v>#NAME?</v>
      </c>
      <c r="E22" s="587"/>
      <c r="F22" s="587"/>
      <c r="G22" s="587"/>
      <c r="H22" s="587"/>
      <c r="I22" s="466" t="e" cm="1">
        <f t="array" ref="I22">IF(C_EGTHDMMrg S_Take_Off_B7,C_EGTHDMMrg S_Take_Off_B7,"")</f>
        <v>#NAME?</v>
      </c>
      <c r="J22" s="467" t="s">
        <v>275</v>
      </c>
      <c r="K22" s="89" t="e" cm="1">
        <f t="array" ref="K22">IF(C_N2HDMMrg S_Take_Off_B7,C_N2HDMMrg S_Take_Off_B7,"")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S_MAX_CONT_B7,C_EGTHDLimMC S_MAX_CONT_B7,"")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S_MAX_CONT_B7,C_THD S_MAX_CONT_B7,"")</f>
        <v>#NAME?</v>
      </c>
      <c r="C24" s="269" t="s">
        <v>255</v>
      </c>
      <c r="D24" s="450" t="e" cm="1">
        <f t="array" ref="D24">IF(C_FNK3M S_MAX_CONT_B7,C_FNK3M S_MAX_CONT_B7,"")</f>
        <v>#NAME?</v>
      </c>
      <c r="E24" s="322" t="e" cm="1">
        <f t="array" ref="E24">IF(C_EGTK3M S_MAX_CONT_B7,C_EGTK3M S_MAX_CONT_B7,"")</f>
        <v>#NAME?</v>
      </c>
      <c r="F24" s="56" t="e" cm="1">
        <f t="array" ref="F24">IF(C_N2K3M S_MAX_CONT_B7,C_N2K3M S_MAX_CONT_B7,"")</f>
        <v>#NAME?</v>
      </c>
      <c r="G24" s="56" t="e" cm="1">
        <f t="array" ref="G24">IF(C_WFK3M S_MAX_CONT_B7,C_WFK3M S_MAX_CONT_B7,"")</f>
        <v>#NAME?</v>
      </c>
      <c r="H24" s="322" t="e" cm="1">
        <f t="array" ref="H24">IF(C_SFCK3 S_MAX_CONT_B7,C_SFCK3 S_MAX_CONT_B7,"")</f>
        <v>#NAME?</v>
      </c>
      <c r="I24" s="582" t="e" cm="1">
        <f t="array" ref="I24">IF(C_EGTHDM S_MAX_CONT_B7,C_EGTHDM S_MAX_CONT_B7,"")</f>
        <v>#NAME?</v>
      </c>
      <c r="J24" s="583"/>
      <c r="K24" s="93" t="e" cm="1">
        <f t="array" ref="K24">IF(C_N2R2HDM S_MAX_CONT_B7,C_N2R2HDM S_MAX_CONT_B7,"")</f>
        <v>#NAME?</v>
      </c>
    </row>
    <row r="25" spans="1:18" ht="14.25" x14ac:dyDescent="0.2">
      <c r="A25" s="584" t="e" cm="1">
        <f t="array" ref="A25">IF(C_N1KRatedMC S_MAX_CONT_B7,C_N1KRatedMC S_MAX_CONT_B7,"")</f>
        <v>#NAME?</v>
      </c>
      <c r="B25" s="563"/>
      <c r="C25" s="270" t="s">
        <v>256</v>
      </c>
      <c r="D25" s="450" t="e" cm="1">
        <f t="array" ref="D25">IF(C_FNKRatedTO S_MAX_CONT_B7,C_FNKRatedTO S_MAX_CONT_B7,"")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S_MAX_CONT_B7,C_FNMrgPC S_MAX_CONT_B7,"")</f>
        <v>#NAME?</v>
      </c>
      <c r="E26" s="587"/>
      <c r="F26" s="587"/>
      <c r="G26" s="600"/>
      <c r="H26" s="600"/>
      <c r="I26" s="466" t="e" cm="1">
        <f t="array" ref="I26">IF(C_EGTHDMMrg S_MAX_CONT_B7,C_EGTHDMMrg S_MAX_CONT_B7,"")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S_Take_Off_B7,C_EGTHDMMrg S_Take_Off_B7,"")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S_Take_Off_B7,C_N1ModLvl S_Take_Off_B7,"")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S_Take_Off_B7,C_PoilC S_Take_Off_B7,"")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S_Take_Off_B7,C_TOil S_Take_Off_B7,"")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S_Take_Off_B7,C_TSCAV S_Take_Off_B7,"")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S_Take_Off_B7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S_Take_Off_B7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S_Take_Off_B7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S_Take_Off_B7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S_Take_Off_B7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S_Take_Off_B7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S_Take_Off_B7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S_Take_Off_B7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93" priority="37" stopIfTrue="1">
      <formula>LEN(TRIM(H37))=0</formula>
    </cfRule>
  </conditionalFormatting>
  <conditionalFormatting sqref="H25:I25 H21:I21 F23 F25 C15 H19 H23 K41 K23 K21">
    <cfRule type="containsBlanks" dxfId="192" priority="36" stopIfTrue="1">
      <formula>LEN(TRIM(C15))=0</formula>
    </cfRule>
  </conditionalFormatting>
  <conditionalFormatting sqref="A5 F5 A14 A29 A51">
    <cfRule type="notContainsBlanks" dxfId="191" priority="35" stopIfTrue="1">
      <formula>LEN(TRIM(A5))&gt;0</formula>
    </cfRule>
  </conditionalFormatting>
  <conditionalFormatting sqref="H10">
    <cfRule type="containsBlanks" dxfId="190" priority="34" stopIfTrue="1">
      <formula>LEN(TRIM(H10))=0</formula>
    </cfRule>
  </conditionalFormatting>
  <conditionalFormatting sqref="K26">
    <cfRule type="containsBlanks" dxfId="189" priority="33" stopIfTrue="1">
      <formula>LEN(TRIM(K26))=0</formula>
    </cfRule>
  </conditionalFormatting>
  <conditionalFormatting sqref="K42">
    <cfRule type="containsBlanks" dxfId="188" priority="32" stopIfTrue="1">
      <formula>LEN(TRIM(K42))=0</formula>
    </cfRule>
  </conditionalFormatting>
  <conditionalFormatting sqref="K43">
    <cfRule type="containsBlanks" dxfId="187" priority="31" stopIfTrue="1">
      <formula>LEN(TRIM(K43))=0</formula>
    </cfRule>
  </conditionalFormatting>
  <conditionalFormatting sqref="D19">
    <cfRule type="containsBlanks" dxfId="186" priority="30" stopIfTrue="1">
      <formula>LEN(TRIM(D19))=0</formula>
    </cfRule>
  </conditionalFormatting>
  <conditionalFormatting sqref="E21">
    <cfRule type="containsBlanks" dxfId="185" priority="29" stopIfTrue="1">
      <formula>LEN(TRIM(E21))=0</formula>
    </cfRule>
  </conditionalFormatting>
  <conditionalFormatting sqref="E19">
    <cfRule type="containsBlanks" dxfId="184" priority="28" stopIfTrue="1">
      <formula>LEN(TRIM(E19))=0</formula>
    </cfRule>
  </conditionalFormatting>
  <conditionalFormatting sqref="F19">
    <cfRule type="containsBlanks" dxfId="183" priority="27" stopIfTrue="1">
      <formula>LEN(TRIM(F19))=0</formula>
    </cfRule>
  </conditionalFormatting>
  <conditionalFormatting sqref="F21">
    <cfRule type="containsBlanks" dxfId="182" priority="26" stopIfTrue="1">
      <formula>LEN(TRIM(F21))=0</formula>
    </cfRule>
  </conditionalFormatting>
  <conditionalFormatting sqref="D23">
    <cfRule type="containsBlanks" dxfId="181" priority="25" stopIfTrue="1">
      <formula>LEN(TRIM(D23))=0</formula>
    </cfRule>
  </conditionalFormatting>
  <conditionalFormatting sqref="E23">
    <cfRule type="containsBlanks" dxfId="180" priority="24" stopIfTrue="1">
      <formula>LEN(TRIM(E23))=0</formula>
    </cfRule>
  </conditionalFormatting>
  <conditionalFormatting sqref="K45">
    <cfRule type="containsBlanks" dxfId="179" priority="16" stopIfTrue="1">
      <formula>LEN(TRIM(K45))=0</formula>
    </cfRule>
  </conditionalFormatting>
  <conditionalFormatting sqref="E25">
    <cfRule type="containsBlanks" dxfId="178" priority="23" stopIfTrue="1">
      <formula>LEN(TRIM(E25))=0</formula>
    </cfRule>
  </conditionalFormatting>
  <conditionalFormatting sqref="G19">
    <cfRule type="containsBlanks" dxfId="177" priority="22" stopIfTrue="1">
      <formula>LEN(TRIM(G19))=0</formula>
    </cfRule>
  </conditionalFormatting>
  <conditionalFormatting sqref="G23">
    <cfRule type="containsBlanks" dxfId="176" priority="21" stopIfTrue="1">
      <formula>LEN(TRIM(G23))=0</formula>
    </cfRule>
  </conditionalFormatting>
  <conditionalFormatting sqref="G25">
    <cfRule type="containsBlanks" dxfId="175" priority="20" stopIfTrue="1">
      <formula>LEN(TRIM(G25))=0</formula>
    </cfRule>
  </conditionalFormatting>
  <conditionalFormatting sqref="G21">
    <cfRule type="containsBlanks" dxfId="174" priority="19" stopIfTrue="1">
      <formula>LEN(TRIM(G21))=0</formula>
    </cfRule>
  </conditionalFormatting>
  <conditionalFormatting sqref="K25">
    <cfRule type="containsBlanks" dxfId="173" priority="18" stopIfTrue="1">
      <formula>LEN(TRIM(K25))=0</formula>
    </cfRule>
  </conditionalFormatting>
  <conditionalFormatting sqref="K44">
    <cfRule type="containsBlanks" dxfId="172" priority="17" stopIfTrue="1">
      <formula>LEN(TRIM(K44))=0</formula>
    </cfRule>
  </conditionalFormatting>
  <conditionalFormatting sqref="K46">
    <cfRule type="containsBlanks" dxfId="171" priority="15" stopIfTrue="1">
      <formula>LEN(TRIM(K46))=0</formula>
    </cfRule>
  </conditionalFormatting>
  <conditionalFormatting sqref="K47">
    <cfRule type="containsBlanks" dxfId="170" priority="14" stopIfTrue="1">
      <formula>LEN(TRIM(K47))=0</formula>
    </cfRule>
  </conditionalFormatting>
  <conditionalFormatting sqref="K48">
    <cfRule type="containsBlanks" dxfId="169" priority="13" stopIfTrue="1">
      <formula>LEN(TRIM(K48))=0</formula>
    </cfRule>
  </conditionalFormatting>
  <conditionalFormatting sqref="K49">
    <cfRule type="containsBlanks" dxfId="168" priority="12" stopIfTrue="1">
      <formula>LEN(TRIM(K49))=0</formula>
    </cfRule>
  </conditionalFormatting>
  <conditionalFormatting sqref="H11">
    <cfRule type="containsBlanks" dxfId="167" priority="11" stopIfTrue="1">
      <formula>LEN(TRIM(H11))=0</formula>
    </cfRule>
  </conditionalFormatting>
  <conditionalFormatting sqref="H12">
    <cfRule type="containsBlanks" dxfId="166" priority="10" stopIfTrue="1">
      <formula>LEN(TRIM(H12))=0</formula>
    </cfRule>
  </conditionalFormatting>
  <conditionalFormatting sqref="C9">
    <cfRule type="containsBlanks" dxfId="165" priority="9" stopIfTrue="1">
      <formula>LEN(TRIM(C9))=0</formula>
    </cfRule>
  </conditionalFormatting>
  <conditionalFormatting sqref="H58">
    <cfRule type="containsBlanks" dxfId="164" priority="8" stopIfTrue="1">
      <formula>LEN(TRIM(H58))=0</formula>
    </cfRule>
  </conditionalFormatting>
  <conditionalFormatting sqref="H59">
    <cfRule type="containsBlanks" dxfId="163" priority="7" stopIfTrue="1">
      <formula>LEN(TRIM(H59))=0</formula>
    </cfRule>
  </conditionalFormatting>
  <conditionalFormatting sqref="I52">
    <cfRule type="containsBlanks" dxfId="162" priority="6" stopIfTrue="1">
      <formula>LEN(TRIM(I52))=0</formula>
    </cfRule>
  </conditionalFormatting>
  <conditionalFormatting sqref="H52">
    <cfRule type="containsBlanks" dxfId="161" priority="5" stopIfTrue="1">
      <formula>LEN(TRIM(H52))=0</formula>
    </cfRule>
  </conditionalFormatting>
  <conditionalFormatting sqref="H53">
    <cfRule type="containsBlanks" dxfId="160" priority="4" stopIfTrue="1">
      <formula>LEN(TRIM(H53))=0</formula>
    </cfRule>
  </conditionalFormatting>
  <conditionalFormatting sqref="H54">
    <cfRule type="containsBlanks" dxfId="159" priority="3" stopIfTrue="1">
      <formula>LEN(TRIM(H54))=0</formula>
    </cfRule>
  </conditionalFormatting>
  <conditionalFormatting sqref="K52">
    <cfRule type="containsBlanks" dxfId="158" priority="2" stopIfTrue="1">
      <formula>LEN(TRIM(K52))=0</formula>
    </cfRule>
  </conditionalFormatting>
  <conditionalFormatting sqref="K30">
    <cfRule type="containsBlanks" dxfId="157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B101-D522-4B4A-936E-DCAE50F3C04C}">
  <sheetPr>
    <tabColor rgb="FFFFC000"/>
  </sheetPr>
  <dimension ref="A1:R66"/>
  <sheetViews>
    <sheetView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S_Take_Off_B8,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S_Take_Off_B8,C_EGTHDLimTO S_Take_Off_B8,"")</f>
        <v>#NAME?</v>
      </c>
      <c r="J19" s="579"/>
      <c r="K19" s="78" t="e" cm="1">
        <f t="array" ref="K19">IF(C_N2HDLim_TO S_Take_Off_B8,C_N2HDLim_TO S_Take_Off_B8,"")</f>
        <v>#NAME?</v>
      </c>
    </row>
    <row r="20" spans="1:18" ht="14.25" x14ac:dyDescent="0.2">
      <c r="A20" s="90"/>
      <c r="B20" s="580" t="e" cm="1">
        <f t="array" ref="B20">IF(C_THD S_Take_Off_B8,C_THD S_Take_Off_B8,"")</f>
        <v>#NAME?</v>
      </c>
      <c r="C20" s="269" t="s">
        <v>255</v>
      </c>
      <c r="D20" s="450" t="e" cm="1">
        <f t="array" ref="D20">IF(C_FNK3M S_Take_Off_B8,C_FNK3M S_Take_Off_B8,"")</f>
        <v>#NAME?</v>
      </c>
      <c r="E20" s="322" t="e" cm="1">
        <f t="array" ref="E20">IF(C_EGTK3M S_Take_Off_B8,C_EGTK3M S_Take_Off_B8,"")</f>
        <v>#NAME?</v>
      </c>
      <c r="F20" s="56" t="e" cm="1">
        <f t="array" ref="F20">IF(C_N2K3M S_Take_Off_B8,C_N2K3M S_Take_Off_B8,"")</f>
        <v>#NAME?</v>
      </c>
      <c r="G20" s="56" t="e" cm="1">
        <f t="array" ref="G20">IF(C_WFK3M S_Take_Off_B8,C_WFK3M S_Take_Off_B8,"")</f>
        <v>#NAME?</v>
      </c>
      <c r="H20" s="322" t="e" cm="1">
        <f t="array" ref="H20">IF(C_SFCK3 S_Take_Off_B8,C_SFCK3 S_Take_Off_B8,"")</f>
        <v>#NAME?</v>
      </c>
      <c r="I20" s="582" t="e" cm="1">
        <f t="array" ref="I20">IF(C_EGTHDM S_Take_Off_B8,C_EGTHDM S_Take_Off_B8,"")</f>
        <v>#NAME?</v>
      </c>
      <c r="J20" s="583"/>
      <c r="K20" s="93" t="e" cm="1">
        <f t="array" ref="K20">IF(C_N2R2HDM S_Take_Off_B8,C_N2R2HDM S_Take_Off_B8,"")</f>
        <v>#NAME?</v>
      </c>
    </row>
    <row r="21" spans="1:18" ht="14.25" x14ac:dyDescent="0.2">
      <c r="A21" s="584" t="e" cm="1">
        <f t="array" ref="A21">IF(C_N1KRatedTO S_Take_Off_B8,C_N1KRatedTO S_Take_Off_B8,"")</f>
        <v>#NAME?</v>
      </c>
      <c r="B21" s="580"/>
      <c r="C21" s="269" t="s">
        <v>256</v>
      </c>
      <c r="D21" s="450" t="e" cm="1">
        <f t="array" ref="D21">IF(C_FNKRatedTO S_Take_Off_B8,C_FNKRatedTO S_Take_Off_B8,"")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S_Take_Off_B8,C_FNMrgPC S_Take_Off_B8,"")</f>
        <v>#NAME?</v>
      </c>
      <c r="E22" s="587"/>
      <c r="F22" s="587"/>
      <c r="G22" s="587"/>
      <c r="H22" s="587"/>
      <c r="I22" s="466" t="e" cm="1">
        <f t="array" ref="I22">IF(C_EGTHDMMrg S_Take_Off_B8,C_EGTHDMMrg S_Take_Off_B8,"")</f>
        <v>#NAME?</v>
      </c>
      <c r="J22" s="467" t="s">
        <v>275</v>
      </c>
      <c r="K22" s="89" t="e" cm="1">
        <f t="array" ref="K22">IF(C_N2HDMMrg S_Take_Off_B8,C_N2HDMMrg S_Take_Off_B8,"")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S_MAX_CONT_B8,C_EGTHDLimMC S_MAX_CONT_B8,"")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S_MAX_CONT_B8,C_THD S_MAX_CONT_B8,"")</f>
        <v>#NAME?</v>
      </c>
      <c r="C24" s="269" t="s">
        <v>255</v>
      </c>
      <c r="D24" s="450" t="e" cm="1">
        <f t="array" ref="D24">IF(C_FNK3M S_MAX_CONT_B8,C_FNK3M S_MAX_CONT_B8,"")</f>
        <v>#NAME?</v>
      </c>
      <c r="E24" s="322" t="e" cm="1">
        <f t="array" ref="E24">IF(C_EGTK3M S_MAX_CONT_B8,C_EGTK3M S_MAX_CONT_B8,"")</f>
        <v>#NAME?</v>
      </c>
      <c r="F24" s="56" t="e" cm="1">
        <f t="array" ref="F24">IF(C_N2K3M S_MAX_CONT_B8,C_N2K3M S_MAX_CONT_B8,"")</f>
        <v>#NAME?</v>
      </c>
      <c r="G24" s="56" t="e" cm="1">
        <f t="array" ref="G24">IF(C_WFK3M S_MAX_CONT_B8,C_WFK3M S_MAX_CONT_B8,"")</f>
        <v>#NAME?</v>
      </c>
      <c r="H24" s="322" t="e" cm="1">
        <f t="array" ref="H24">IF(C_SFCK3 S_MAX_CONT_B8,C_SFCK3 S_MAX_CONT_B8,"")</f>
        <v>#NAME?</v>
      </c>
      <c r="I24" s="582" t="e" cm="1">
        <f t="array" ref="I24">IF(C_EGTHDM S_MAX_CONT_B8,C_EGTHDM S_MAX_CONT_B8,"")</f>
        <v>#NAME?</v>
      </c>
      <c r="J24" s="583"/>
      <c r="K24" s="93" t="e" cm="1">
        <f t="array" ref="K24">IF(C_N2R2HDM S_MAX_CONT_B8,C_N2R2HDM S_MAX_CONT_B8,"")</f>
        <v>#NAME?</v>
      </c>
    </row>
    <row r="25" spans="1:18" ht="14.25" x14ac:dyDescent="0.2">
      <c r="A25" s="584" t="e" cm="1">
        <f t="array" ref="A25">IF(C_N1KRatedMC S_MAX_CONT_B8,C_N1KRatedMC S_MAX_CONT_B8,"")</f>
        <v>#NAME?</v>
      </c>
      <c r="B25" s="563"/>
      <c r="C25" s="270" t="s">
        <v>256</v>
      </c>
      <c r="D25" s="450" t="e" cm="1">
        <f t="array" ref="D25">IF(C_FNKRatedTO S_MAX_CONT_B8,C_FNKRatedTO S_MAX_CONT_B8,"")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S_MAX_CONT_B8,C_FNMrgPC S_MAX_CONT_B8,"")</f>
        <v>#NAME?</v>
      </c>
      <c r="E26" s="587"/>
      <c r="F26" s="587"/>
      <c r="G26" s="600"/>
      <c r="H26" s="600"/>
      <c r="I26" s="466" t="e" cm="1">
        <f t="array" ref="I26">IF(C_EGTHDMMrg S_MAX_CONT_B8,C_EGTHDMMrg S_MAX_CONT_B8,"")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S_Take_Off_B8,C_EGTHDMMrg S_Take_Off_B8,"")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S_Take_Off_B8,C_N1ModLvl S_Take_Off_B8,"")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S_Take_Off_B8,C_PoilC S_Take_Off_B8,"")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S_Take_Off_B8,C_TOil S_Take_Off_B8,"")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S_Take_Off_B8,C_TSCAV S_Take_Off_B8,"")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S_Take_Off_B8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S_Take_Off_B8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S_Take_Off_B8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S_Take_Off_B8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S_Take_Off_B8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S_Take_Off_B8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S_Take_Off_B8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S_Take_Off_B8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56" priority="37" stopIfTrue="1">
      <formula>LEN(TRIM(H37))=0</formula>
    </cfRule>
  </conditionalFormatting>
  <conditionalFormatting sqref="H25:I25 H21:I21 F23 F25 C15 H19 H23 K41 K23 K21">
    <cfRule type="containsBlanks" dxfId="155" priority="36" stopIfTrue="1">
      <formula>LEN(TRIM(C15))=0</formula>
    </cfRule>
  </conditionalFormatting>
  <conditionalFormatting sqref="A5 F5 A14 A29 A51">
    <cfRule type="notContainsBlanks" dxfId="154" priority="35" stopIfTrue="1">
      <formula>LEN(TRIM(A5))&gt;0</formula>
    </cfRule>
  </conditionalFormatting>
  <conditionalFormatting sqref="H10">
    <cfRule type="containsBlanks" dxfId="153" priority="34" stopIfTrue="1">
      <formula>LEN(TRIM(H10))=0</formula>
    </cfRule>
  </conditionalFormatting>
  <conditionalFormatting sqref="K26">
    <cfRule type="containsBlanks" dxfId="152" priority="33" stopIfTrue="1">
      <formula>LEN(TRIM(K26))=0</formula>
    </cfRule>
  </conditionalFormatting>
  <conditionalFormatting sqref="K42">
    <cfRule type="containsBlanks" dxfId="151" priority="32" stopIfTrue="1">
      <formula>LEN(TRIM(K42))=0</formula>
    </cfRule>
  </conditionalFormatting>
  <conditionalFormatting sqref="K43">
    <cfRule type="containsBlanks" dxfId="150" priority="31" stopIfTrue="1">
      <formula>LEN(TRIM(K43))=0</formula>
    </cfRule>
  </conditionalFormatting>
  <conditionalFormatting sqref="D19">
    <cfRule type="containsBlanks" dxfId="149" priority="30" stopIfTrue="1">
      <formula>LEN(TRIM(D19))=0</formula>
    </cfRule>
  </conditionalFormatting>
  <conditionalFormatting sqref="E21">
    <cfRule type="containsBlanks" dxfId="148" priority="29" stopIfTrue="1">
      <formula>LEN(TRIM(E21))=0</formula>
    </cfRule>
  </conditionalFormatting>
  <conditionalFormatting sqref="E19">
    <cfRule type="containsBlanks" dxfId="147" priority="28" stopIfTrue="1">
      <formula>LEN(TRIM(E19))=0</formula>
    </cfRule>
  </conditionalFormatting>
  <conditionalFormatting sqref="F19">
    <cfRule type="containsBlanks" dxfId="146" priority="27" stopIfTrue="1">
      <formula>LEN(TRIM(F19))=0</formula>
    </cfRule>
  </conditionalFormatting>
  <conditionalFormatting sqref="F21">
    <cfRule type="containsBlanks" dxfId="145" priority="26" stopIfTrue="1">
      <formula>LEN(TRIM(F21))=0</formula>
    </cfRule>
  </conditionalFormatting>
  <conditionalFormatting sqref="D23">
    <cfRule type="containsBlanks" dxfId="144" priority="25" stopIfTrue="1">
      <formula>LEN(TRIM(D23))=0</formula>
    </cfRule>
  </conditionalFormatting>
  <conditionalFormatting sqref="E23">
    <cfRule type="containsBlanks" dxfId="143" priority="24" stopIfTrue="1">
      <formula>LEN(TRIM(E23))=0</formula>
    </cfRule>
  </conditionalFormatting>
  <conditionalFormatting sqref="K45">
    <cfRule type="containsBlanks" dxfId="142" priority="16" stopIfTrue="1">
      <formula>LEN(TRIM(K45))=0</formula>
    </cfRule>
  </conditionalFormatting>
  <conditionalFormatting sqref="E25">
    <cfRule type="containsBlanks" dxfId="141" priority="23" stopIfTrue="1">
      <formula>LEN(TRIM(E25))=0</formula>
    </cfRule>
  </conditionalFormatting>
  <conditionalFormatting sqref="G19">
    <cfRule type="containsBlanks" dxfId="140" priority="22" stopIfTrue="1">
      <formula>LEN(TRIM(G19))=0</formula>
    </cfRule>
  </conditionalFormatting>
  <conditionalFormatting sqref="G23">
    <cfRule type="containsBlanks" dxfId="139" priority="21" stopIfTrue="1">
      <formula>LEN(TRIM(G23))=0</formula>
    </cfRule>
  </conditionalFormatting>
  <conditionalFormatting sqref="G25">
    <cfRule type="containsBlanks" dxfId="138" priority="20" stopIfTrue="1">
      <formula>LEN(TRIM(G25))=0</formula>
    </cfRule>
  </conditionalFormatting>
  <conditionalFormatting sqref="G21">
    <cfRule type="containsBlanks" dxfId="137" priority="19" stopIfTrue="1">
      <formula>LEN(TRIM(G21))=0</formula>
    </cfRule>
  </conditionalFormatting>
  <conditionalFormatting sqref="K25">
    <cfRule type="containsBlanks" dxfId="136" priority="18" stopIfTrue="1">
      <formula>LEN(TRIM(K25))=0</formula>
    </cfRule>
  </conditionalFormatting>
  <conditionalFormatting sqref="K44">
    <cfRule type="containsBlanks" dxfId="135" priority="17" stopIfTrue="1">
      <formula>LEN(TRIM(K44))=0</formula>
    </cfRule>
  </conditionalFormatting>
  <conditionalFormatting sqref="K46">
    <cfRule type="containsBlanks" dxfId="134" priority="15" stopIfTrue="1">
      <formula>LEN(TRIM(K46))=0</formula>
    </cfRule>
  </conditionalFormatting>
  <conditionalFormatting sqref="K47">
    <cfRule type="containsBlanks" dxfId="133" priority="14" stopIfTrue="1">
      <formula>LEN(TRIM(K47))=0</formula>
    </cfRule>
  </conditionalFormatting>
  <conditionalFormatting sqref="K48">
    <cfRule type="containsBlanks" dxfId="132" priority="13" stopIfTrue="1">
      <formula>LEN(TRIM(K48))=0</formula>
    </cfRule>
  </conditionalFormatting>
  <conditionalFormatting sqref="K49">
    <cfRule type="containsBlanks" dxfId="131" priority="12" stopIfTrue="1">
      <formula>LEN(TRIM(K49))=0</formula>
    </cfRule>
  </conditionalFormatting>
  <conditionalFormatting sqref="H11">
    <cfRule type="containsBlanks" dxfId="130" priority="11" stopIfTrue="1">
      <formula>LEN(TRIM(H11))=0</formula>
    </cfRule>
  </conditionalFormatting>
  <conditionalFormatting sqref="H12">
    <cfRule type="containsBlanks" dxfId="129" priority="10" stopIfTrue="1">
      <formula>LEN(TRIM(H12))=0</formula>
    </cfRule>
  </conditionalFormatting>
  <conditionalFormatting sqref="C9">
    <cfRule type="containsBlanks" dxfId="128" priority="9" stopIfTrue="1">
      <formula>LEN(TRIM(C9))=0</formula>
    </cfRule>
  </conditionalFormatting>
  <conditionalFormatting sqref="H58">
    <cfRule type="containsBlanks" dxfId="127" priority="8" stopIfTrue="1">
      <formula>LEN(TRIM(H58))=0</formula>
    </cfRule>
  </conditionalFormatting>
  <conditionalFormatting sqref="H59">
    <cfRule type="containsBlanks" dxfId="126" priority="7" stopIfTrue="1">
      <formula>LEN(TRIM(H59))=0</formula>
    </cfRule>
  </conditionalFormatting>
  <conditionalFormatting sqref="I52">
    <cfRule type="containsBlanks" dxfId="125" priority="6" stopIfTrue="1">
      <formula>LEN(TRIM(I52))=0</formula>
    </cfRule>
  </conditionalFormatting>
  <conditionalFormatting sqref="H52">
    <cfRule type="containsBlanks" dxfId="124" priority="5" stopIfTrue="1">
      <formula>LEN(TRIM(H52))=0</formula>
    </cfRule>
  </conditionalFormatting>
  <conditionalFormatting sqref="H53">
    <cfRule type="containsBlanks" dxfId="123" priority="4" stopIfTrue="1">
      <formula>LEN(TRIM(H53))=0</formula>
    </cfRule>
  </conditionalFormatting>
  <conditionalFormatting sqref="H54">
    <cfRule type="containsBlanks" dxfId="122" priority="3" stopIfTrue="1">
      <formula>LEN(TRIM(H54))=0</formula>
    </cfRule>
  </conditionalFormatting>
  <conditionalFormatting sqref="K52">
    <cfRule type="containsBlanks" dxfId="121" priority="2" stopIfTrue="1">
      <formula>LEN(TRIM(K52))=0</formula>
    </cfRule>
  </conditionalFormatting>
  <conditionalFormatting sqref="K30">
    <cfRule type="containsBlanks" dxfId="120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546-FCFE-4164-AA0D-E160D0ACAB06}">
  <sheetPr>
    <tabColor rgb="FFFFC000"/>
  </sheetPr>
  <dimension ref="A1:R66"/>
  <sheetViews>
    <sheetView zoomScaleNormal="100" workbookViewId="0">
      <selection activeCell="F20" sqref="F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S_Take_Off_B9,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492</v>
      </c>
      <c r="B11" s="539"/>
      <c r="C11" s="517" t="e">
        <f>H_ENG_QUALITY_REPAIR</f>
        <v>#NAME?</v>
      </c>
      <c r="D11" s="518"/>
      <c r="E11" s="518"/>
      <c r="F11" s="519" t="s">
        <v>570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578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503</v>
      </c>
      <c r="D19" s="456"/>
      <c r="E19" s="87"/>
      <c r="F19" s="87"/>
      <c r="G19" s="87"/>
      <c r="H19" s="87"/>
      <c r="I19" s="578" t="e" cm="1">
        <f t="array" ref="I19">IF(C_EGTHDLimTO S_Take_Off_B9,C_EGTHDLimTO S_Take_Off_B9,"")</f>
        <v>#NAME?</v>
      </c>
      <c r="J19" s="579"/>
      <c r="K19" s="78" t="e" cm="1">
        <f t="array" ref="K19">IF(C_N2HDLim_TO S_Take_Off_B9,C_N2HDLim_TO S_Take_Off_B9,"")</f>
        <v>#NAME?</v>
      </c>
    </row>
    <row r="20" spans="1:18" ht="14.25" x14ac:dyDescent="0.2">
      <c r="A20" s="90"/>
      <c r="B20" s="580" t="e" cm="1">
        <f t="array" ref="B20">IF(C_THD S_Take_Off_B9,C_THD S_Take_Off_B9,"")</f>
        <v>#NAME?</v>
      </c>
      <c r="C20" s="269" t="s">
        <v>255</v>
      </c>
      <c r="D20" s="450" t="e" cm="1">
        <f t="array" ref="D20">IF(C_FNK3M S_Take_Off_B9,C_FNK3M S_Take_Off_B9,"")</f>
        <v>#NAME?</v>
      </c>
      <c r="E20" s="322" t="e" cm="1">
        <f t="array" ref="E20">IF(C_EGTK3M S_Take_Off_B9,C_EGTK3M S_Take_Off_B9,"")</f>
        <v>#NAME?</v>
      </c>
      <c r="F20" s="56" t="e" cm="1">
        <f t="array" ref="F20">IF(C_N2K3M S_Take_Off_B9,C_N2K3M S_Take_Off_B9,"")</f>
        <v>#NAME?</v>
      </c>
      <c r="G20" s="56" t="e" cm="1">
        <f t="array" ref="G20">IF(C_WFK3M S_Take_Off_B9,C_WFK3M S_Take_Off_B9,"")</f>
        <v>#NAME?</v>
      </c>
      <c r="H20" s="322" t="e" cm="1">
        <f t="array" ref="H20">IF(C_SFCK3 S_Take_Off_B9,C_SFCK3 S_Take_Off_B9,"")</f>
        <v>#NAME?</v>
      </c>
      <c r="I20" s="582" t="e" cm="1">
        <f t="array" ref="I20">IF(C_EGTHDM S_Take_Off_B9,C_EGTHDM S_Take_Off_B9,"")</f>
        <v>#NAME?</v>
      </c>
      <c r="J20" s="583"/>
      <c r="K20" s="93" t="e" cm="1">
        <f t="array" ref="K20">IF(C_N2R2HDM S_Take_Off_B9,C_N2R2HDM S_Take_Off_B9,"")</f>
        <v>#NAME?</v>
      </c>
    </row>
    <row r="21" spans="1:18" ht="14.25" x14ac:dyDescent="0.2">
      <c r="A21" s="584" t="e" cm="1">
        <f t="array" ref="A21">IF(C_N1KRatedTO S_Take_Off_B9,C_N1KRatedTO S_Take_Off_B9,"")</f>
        <v>#NAME?</v>
      </c>
      <c r="B21" s="580"/>
      <c r="C21" s="269" t="s">
        <v>256</v>
      </c>
      <c r="D21" s="450" t="e" cm="1">
        <f t="array" ref="D21">IF(C_FNKRatedTO S_Take_Off_B9,C_FNKRatedTO S_Take_Off_B9,"")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564</v>
      </c>
      <c r="D22" s="468" t="e" cm="1">
        <f t="array" ref="D22">IF(C_FNMrgPC S_Take_Off_B9,C_FNMrgPC S_Take_Off_B9,"")</f>
        <v>#NAME?</v>
      </c>
      <c r="E22" s="587"/>
      <c r="F22" s="587"/>
      <c r="G22" s="587"/>
      <c r="H22" s="587"/>
      <c r="I22" s="466" t="e" cm="1">
        <f t="array" ref="I22">IF(C_EGTHDMMrg S_Take_Off_B9,C_EGTHDMMrg S_Take_Off_B9,"")</f>
        <v>#NAME?</v>
      </c>
      <c r="J22" s="467" t="s">
        <v>275</v>
      </c>
      <c r="K22" s="89" t="e" cm="1">
        <f t="array" ref="K22">IF(C_N2HDMMrg S_Take_Off_B9,C_N2HDMMrg S_Take_Off_B9,"")</f>
        <v>#NAME?</v>
      </c>
    </row>
    <row r="23" spans="1:18" ht="15" customHeight="1" thickTop="1" x14ac:dyDescent="0.25">
      <c r="A23" s="597" t="s">
        <v>257</v>
      </c>
      <c r="B23" s="598"/>
      <c r="C23" s="268" t="s">
        <v>503</v>
      </c>
      <c r="D23" s="456"/>
      <c r="E23" s="54"/>
      <c r="F23" s="54"/>
      <c r="G23" s="54"/>
      <c r="H23" s="88"/>
      <c r="I23" s="578" t="e" cm="1">
        <f t="array" ref="I23">IF(C_EGTHDLimMC S_MAX_CONT_B9,C_EGTHDLimMC S_MAX_CONT_B9,"")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S_MAX_CONT_B9,C_THD S_MAX_CONT_B9,"")</f>
        <v>#NAME?</v>
      </c>
      <c r="C24" s="269" t="s">
        <v>255</v>
      </c>
      <c r="D24" s="450" t="e" cm="1">
        <f t="array" ref="D24">IF(C_FNK3M S_MAX_CONT_B9,C_FNK3M S_MAX_CONT_B9,"")</f>
        <v>#NAME?</v>
      </c>
      <c r="E24" s="322" t="e" cm="1">
        <f t="array" ref="E24">IF(C_EGTK3M S_MAX_CONT_B9,C_EGTK3M S_MAX_CONT_B9,"")</f>
        <v>#NAME?</v>
      </c>
      <c r="F24" s="56" t="e" cm="1">
        <f t="array" ref="F24">IF(C_N2K3M S_MAX_CONT_B9,C_N2K3M S_MAX_CONT_B9,"")</f>
        <v>#NAME?</v>
      </c>
      <c r="G24" s="56" t="e" cm="1">
        <f t="array" ref="G24">IF(C_WFK3M S_MAX_CONT_B9,C_WFK3M S_MAX_CONT_B9,"")</f>
        <v>#NAME?</v>
      </c>
      <c r="H24" s="322" t="e" cm="1">
        <f t="array" ref="H24">IF(C_SFCK3 S_MAX_CONT_B9,C_SFCK3 S_MAX_CONT_B9,"")</f>
        <v>#NAME?</v>
      </c>
      <c r="I24" s="582" t="e" cm="1">
        <f t="array" ref="I24">IF(C_EGTHDM S_MAX_CONT_B9,C_EGTHDM S_MAX_CONT_B9,"")</f>
        <v>#NAME?</v>
      </c>
      <c r="J24" s="583"/>
      <c r="K24" s="93" t="e" cm="1">
        <f t="array" ref="K24">IF(C_N2R2HDM S_MAX_CONT_B9,C_N2R2HDM S_MAX_CONT_B9,"")</f>
        <v>#NAME?</v>
      </c>
    </row>
    <row r="25" spans="1:18" ht="14.25" x14ac:dyDescent="0.2">
      <c r="A25" s="584" t="e" cm="1">
        <f t="array" ref="A25">IF(C_N1KRatedMC S_MAX_CONT_B9,C_N1KRatedMC S_MAX_CONT_B9,"")</f>
        <v>#NAME?</v>
      </c>
      <c r="B25" s="563"/>
      <c r="C25" s="270" t="s">
        <v>256</v>
      </c>
      <c r="D25" s="450" t="e" cm="1">
        <f t="array" ref="D25">IF(C_FNKRatedTO S_MAX_CONT_B9,C_FNKRatedTO S_MAX_CONT_B9,"")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564</v>
      </c>
      <c r="D26" s="468" t="e" cm="1">
        <f t="array" ref="D26">IF(C_FNMrgPC S_MAX_CONT_B9,C_FNMrgPC S_MAX_CONT_B9,"")</f>
        <v>#NAME?</v>
      </c>
      <c r="E26" s="587"/>
      <c r="F26" s="587"/>
      <c r="G26" s="600"/>
      <c r="H26" s="600"/>
      <c r="I26" s="466" t="e" cm="1">
        <f t="array" ref="I26">IF(C_EGTHDMMrg S_MAX_CONT_B9,C_EGTHDMMrg S_MAX_CONT_B9,"")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580</v>
      </c>
      <c r="M29" s="35"/>
    </row>
    <row r="30" spans="1:18" ht="14.25" customHeight="1" x14ac:dyDescent="0.2">
      <c r="A30" s="606" t="s">
        <v>565</v>
      </c>
      <c r="B30" s="607"/>
      <c r="C30" s="607"/>
      <c r="D30" s="607"/>
      <c r="E30" s="607"/>
      <c r="F30" s="607"/>
      <c r="G30" s="607"/>
      <c r="H30" s="71" t="e" cm="1">
        <f t="array" ref="H30">IF(C_EGTHDMMrg S_Take_Off_B9,C_EGTHDMMrg S_Take_Off_B9,"")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S_Take_Off_B9,C_N1ModLvl S_Take_Off_B9,"")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579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579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S_Take_Off_B9,C_PoilC S_Take_Off_B9,"")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S_Take_Off_B9,C_TOil S_Take_Off_B9,"")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S_Take_Off_B9,C_TSCAV S_Take_Off_B9,"")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S_Take_Off_B9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S_Take_Off_B9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S_Take_Off_B9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S_Take_Off_B9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S_Take_Off_B9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S_Take_Off_B9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S_Take_Off_B9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S_Take_Off_B9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577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580</v>
      </c>
      <c r="M51" s="60"/>
    </row>
    <row r="52" spans="1:13" x14ac:dyDescent="0.2">
      <c r="A52" s="618" t="s">
        <v>488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489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490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19" priority="37" stopIfTrue="1">
      <formula>LEN(TRIM(H37))=0</formula>
    </cfRule>
  </conditionalFormatting>
  <conditionalFormatting sqref="H25:I25 H21:I21 F23 F25 C15 H19 H23 K41 K23 K21">
    <cfRule type="containsBlanks" dxfId="118" priority="36" stopIfTrue="1">
      <formula>LEN(TRIM(C15))=0</formula>
    </cfRule>
  </conditionalFormatting>
  <conditionalFormatting sqref="A5 F5 A14 A29 A51">
    <cfRule type="notContainsBlanks" dxfId="117" priority="35" stopIfTrue="1">
      <formula>LEN(TRIM(A5))&gt;0</formula>
    </cfRule>
  </conditionalFormatting>
  <conditionalFormatting sqref="H10">
    <cfRule type="containsBlanks" dxfId="116" priority="34" stopIfTrue="1">
      <formula>LEN(TRIM(H10))=0</formula>
    </cfRule>
  </conditionalFormatting>
  <conditionalFormatting sqref="K26">
    <cfRule type="containsBlanks" dxfId="115" priority="33" stopIfTrue="1">
      <formula>LEN(TRIM(K26))=0</formula>
    </cfRule>
  </conditionalFormatting>
  <conditionalFormatting sqref="K42">
    <cfRule type="containsBlanks" dxfId="114" priority="32" stopIfTrue="1">
      <formula>LEN(TRIM(K42))=0</formula>
    </cfRule>
  </conditionalFormatting>
  <conditionalFormatting sqref="K43">
    <cfRule type="containsBlanks" dxfId="113" priority="31" stopIfTrue="1">
      <formula>LEN(TRIM(K43))=0</formula>
    </cfRule>
  </conditionalFormatting>
  <conditionalFormatting sqref="D19">
    <cfRule type="containsBlanks" dxfId="112" priority="30" stopIfTrue="1">
      <formula>LEN(TRIM(D19))=0</formula>
    </cfRule>
  </conditionalFormatting>
  <conditionalFormatting sqref="E21">
    <cfRule type="containsBlanks" dxfId="111" priority="29" stopIfTrue="1">
      <formula>LEN(TRIM(E21))=0</formula>
    </cfRule>
  </conditionalFormatting>
  <conditionalFormatting sqref="E19">
    <cfRule type="containsBlanks" dxfId="110" priority="28" stopIfTrue="1">
      <formula>LEN(TRIM(E19))=0</formula>
    </cfRule>
  </conditionalFormatting>
  <conditionalFormatting sqref="F19">
    <cfRule type="containsBlanks" dxfId="109" priority="27" stopIfTrue="1">
      <formula>LEN(TRIM(F19))=0</formula>
    </cfRule>
  </conditionalFormatting>
  <conditionalFormatting sqref="F21">
    <cfRule type="containsBlanks" dxfId="108" priority="26" stopIfTrue="1">
      <formula>LEN(TRIM(F21))=0</formula>
    </cfRule>
  </conditionalFormatting>
  <conditionalFormatting sqref="D23">
    <cfRule type="containsBlanks" dxfId="107" priority="25" stopIfTrue="1">
      <formula>LEN(TRIM(D23))=0</formula>
    </cfRule>
  </conditionalFormatting>
  <conditionalFormatting sqref="E23">
    <cfRule type="containsBlanks" dxfId="106" priority="24" stopIfTrue="1">
      <formula>LEN(TRIM(E23))=0</formula>
    </cfRule>
  </conditionalFormatting>
  <conditionalFormatting sqref="K45">
    <cfRule type="containsBlanks" dxfId="105" priority="16" stopIfTrue="1">
      <formula>LEN(TRIM(K45))=0</formula>
    </cfRule>
  </conditionalFormatting>
  <conditionalFormatting sqref="E25">
    <cfRule type="containsBlanks" dxfId="104" priority="23" stopIfTrue="1">
      <formula>LEN(TRIM(E25))=0</formula>
    </cfRule>
  </conditionalFormatting>
  <conditionalFormatting sqref="G19">
    <cfRule type="containsBlanks" dxfId="103" priority="22" stopIfTrue="1">
      <formula>LEN(TRIM(G19))=0</formula>
    </cfRule>
  </conditionalFormatting>
  <conditionalFormatting sqref="G23">
    <cfRule type="containsBlanks" dxfId="102" priority="21" stopIfTrue="1">
      <formula>LEN(TRIM(G23))=0</formula>
    </cfRule>
  </conditionalFormatting>
  <conditionalFormatting sqref="G25">
    <cfRule type="containsBlanks" dxfId="101" priority="20" stopIfTrue="1">
      <formula>LEN(TRIM(G25))=0</formula>
    </cfRule>
  </conditionalFormatting>
  <conditionalFormatting sqref="G21">
    <cfRule type="containsBlanks" dxfId="100" priority="19" stopIfTrue="1">
      <formula>LEN(TRIM(G21))=0</formula>
    </cfRule>
  </conditionalFormatting>
  <conditionalFormatting sqref="K25">
    <cfRule type="containsBlanks" dxfId="99" priority="18" stopIfTrue="1">
      <formula>LEN(TRIM(K25))=0</formula>
    </cfRule>
  </conditionalFormatting>
  <conditionalFormatting sqref="K44">
    <cfRule type="containsBlanks" dxfId="98" priority="17" stopIfTrue="1">
      <formula>LEN(TRIM(K44))=0</formula>
    </cfRule>
  </conditionalFormatting>
  <conditionalFormatting sqref="K46">
    <cfRule type="containsBlanks" dxfId="97" priority="15" stopIfTrue="1">
      <formula>LEN(TRIM(K46))=0</formula>
    </cfRule>
  </conditionalFormatting>
  <conditionalFormatting sqref="K47">
    <cfRule type="containsBlanks" dxfId="96" priority="14" stopIfTrue="1">
      <formula>LEN(TRIM(K47))=0</formula>
    </cfRule>
  </conditionalFormatting>
  <conditionalFormatting sqref="K48">
    <cfRule type="containsBlanks" dxfId="95" priority="13" stopIfTrue="1">
      <formula>LEN(TRIM(K48))=0</formula>
    </cfRule>
  </conditionalFormatting>
  <conditionalFormatting sqref="K49">
    <cfRule type="containsBlanks" dxfId="94" priority="12" stopIfTrue="1">
      <formula>LEN(TRIM(K49))=0</formula>
    </cfRule>
  </conditionalFormatting>
  <conditionalFormatting sqref="H11">
    <cfRule type="containsBlanks" dxfId="93" priority="11" stopIfTrue="1">
      <formula>LEN(TRIM(H11))=0</formula>
    </cfRule>
  </conditionalFormatting>
  <conditionalFormatting sqref="H12">
    <cfRule type="containsBlanks" dxfId="92" priority="10" stopIfTrue="1">
      <formula>LEN(TRIM(H12))=0</formula>
    </cfRule>
  </conditionalFormatting>
  <conditionalFormatting sqref="C9">
    <cfRule type="containsBlanks" dxfId="91" priority="9" stopIfTrue="1">
      <formula>LEN(TRIM(C9))=0</formula>
    </cfRule>
  </conditionalFormatting>
  <conditionalFormatting sqref="H58">
    <cfRule type="containsBlanks" dxfId="90" priority="8" stopIfTrue="1">
      <formula>LEN(TRIM(H58))=0</formula>
    </cfRule>
  </conditionalFormatting>
  <conditionalFormatting sqref="H59">
    <cfRule type="containsBlanks" dxfId="89" priority="7" stopIfTrue="1">
      <formula>LEN(TRIM(H59))=0</formula>
    </cfRule>
  </conditionalFormatting>
  <conditionalFormatting sqref="I52">
    <cfRule type="containsBlanks" dxfId="88" priority="6" stopIfTrue="1">
      <formula>LEN(TRIM(I52))=0</formula>
    </cfRule>
  </conditionalFormatting>
  <conditionalFormatting sqref="H52">
    <cfRule type="containsBlanks" dxfId="87" priority="5" stopIfTrue="1">
      <formula>LEN(TRIM(H52))=0</formula>
    </cfRule>
  </conditionalFormatting>
  <conditionalFormatting sqref="H53">
    <cfRule type="containsBlanks" dxfId="86" priority="4" stopIfTrue="1">
      <formula>LEN(TRIM(H53))=0</formula>
    </cfRule>
  </conditionalFormatting>
  <conditionalFormatting sqref="H54">
    <cfRule type="containsBlanks" dxfId="85" priority="3" stopIfTrue="1">
      <formula>LEN(TRIM(H54))=0</formula>
    </cfRule>
  </conditionalFormatting>
  <conditionalFormatting sqref="K52">
    <cfRule type="containsBlanks" dxfId="84" priority="2" stopIfTrue="1">
      <formula>LEN(TRIM(K52))=0</formula>
    </cfRule>
  </conditionalFormatting>
  <conditionalFormatting sqref="K30">
    <cfRule type="containsBlanks" dxfId="83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62" t="s">
        <v>491</v>
      </c>
      <c r="E5" s="638">
        <v>9</v>
      </c>
      <c r="F5" s="639"/>
      <c r="G5" s="261"/>
      <c r="J5" s="42">
        <v>1</v>
      </c>
      <c r="K5" s="42" t="str">
        <f>IF($E$5=J5,"YES","NO")</f>
        <v>NO</v>
      </c>
      <c r="L5" s="266"/>
    </row>
    <row r="6" spans="4:15" x14ac:dyDescent="0.2">
      <c r="J6" s="42">
        <v>2</v>
      </c>
      <c r="K6" s="42" t="str">
        <f t="shared" ref="K6:K14" si="0">IF($E$5=J6,"YES","NO")</f>
        <v>NO</v>
      </c>
      <c r="L6" s="266"/>
    </row>
    <row r="7" spans="4:15" x14ac:dyDescent="0.2">
      <c r="J7" s="42">
        <v>3</v>
      </c>
      <c r="K7" s="42" t="str">
        <f t="shared" si="0"/>
        <v>NO</v>
      </c>
      <c r="L7" s="266"/>
    </row>
    <row r="8" spans="4:15" x14ac:dyDescent="0.2">
      <c r="J8" s="42">
        <v>4</v>
      </c>
      <c r="K8" s="42" t="str">
        <f t="shared" si="0"/>
        <v>NO</v>
      </c>
      <c r="L8" s="266"/>
    </row>
    <row r="9" spans="4:15" x14ac:dyDescent="0.2">
      <c r="J9" s="42">
        <v>5</v>
      </c>
      <c r="K9" s="42" t="str">
        <f t="shared" si="0"/>
        <v>NO</v>
      </c>
      <c r="L9" s="266"/>
    </row>
    <row r="10" spans="4:15" x14ac:dyDescent="0.2">
      <c r="J10" s="42">
        <v>6</v>
      </c>
      <c r="K10" s="42" t="str">
        <f t="shared" si="0"/>
        <v>NO</v>
      </c>
      <c r="L10" s="266"/>
    </row>
    <row r="11" spans="4:15" x14ac:dyDescent="0.2">
      <c r="J11" s="42">
        <v>7</v>
      </c>
      <c r="K11" s="42" t="str">
        <f t="shared" si="0"/>
        <v>NO</v>
      </c>
      <c r="L11" s="266"/>
    </row>
    <row r="12" spans="4:15" x14ac:dyDescent="0.2">
      <c r="J12" s="42">
        <v>8</v>
      </c>
      <c r="K12" s="42" t="str">
        <f t="shared" si="0"/>
        <v>NO</v>
      </c>
      <c r="L12" s="266"/>
    </row>
    <row r="13" spans="4:15" x14ac:dyDescent="0.2">
      <c r="J13" s="42">
        <v>9</v>
      </c>
      <c r="K13" s="42" t="str">
        <f t="shared" si="0"/>
        <v>YES</v>
      </c>
      <c r="L13" s="266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62" t="s">
        <v>563</v>
      </c>
      <c r="O16" s="463" t="s">
        <v>502</v>
      </c>
    </row>
    <row r="17" spans="9:15" x14ac:dyDescent="0.2">
      <c r="I17" s="265" t="str">
        <f>IF(OR($M$17=80,$M$17=85),"B8",IF(OR($M$17=94,$M$17=95),"B9","N/A"))</f>
        <v>N/A</v>
      </c>
      <c r="J17" s="265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64" t="s">
        <v>501</v>
      </c>
      <c r="L17" s="265" t="str">
        <f>IF(J17="N/A",I17,J17)</f>
        <v>N/A</v>
      </c>
      <c r="M17" s="358" t="str">
        <f>IF(ISERROR(VLOOKUP(C_Engine_Rating S_take_off1, enum_list!$A$2:$F$102,1,1)),"N/A",VLOOKUP(C_Engine_Rating S_take_off1, enum_list!$A$2:$F$102,1,1))</f>
        <v>N/A</v>
      </c>
      <c r="N17" s="267" t="str">
        <f>IF(ISERROR('Calculation with N1 Modifier'!$D$99),"N/A",'Calculation with N1 Modifier'!$D$99)</f>
        <v>N/A</v>
      </c>
      <c r="O17" s="266" t="str">
        <f>IF(ISERROR('Summary 5B1'!$H$31),"N/A",'Summary 5B1'!$H$31)</f>
        <v>N/A</v>
      </c>
    </row>
    <row r="18" spans="9:15" x14ac:dyDescent="0.2">
      <c r="I18" s="265" t="str">
        <f>IF(OR($M$18=80,$M$18=85),"B8",IF(OR($M$18=94,$M$18=95),"B9","N/A"))</f>
        <v>N/A</v>
      </c>
      <c r="J18" s="265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64" t="s">
        <v>493</v>
      </c>
      <c r="L18" s="265" t="str">
        <f t="shared" ref="L18:L25" si="1">IF(J18="N/A",I18,J18)</f>
        <v>N/A</v>
      </c>
      <c r="M18" s="358" t="str">
        <f>IF(ISERROR(VLOOKUP(C_Engine_Rating S_take_off2, enum_list!$A$2:$F$102,1,1)),"N/A",VLOOKUP(C_Engine_Rating S_take_off2, enum_list!$A$2:$F$102,1,1))</f>
        <v>N/A</v>
      </c>
      <c r="N18" s="267" t="str">
        <f>IF(ISERROR('Calculation with N1 Modifier'!$E$99),"N/A",'Calculation with N1 Modifier'!$E$99)</f>
        <v>N/A</v>
      </c>
      <c r="O18" s="266" t="str">
        <f>IF(ISERROR(#REF!),"N/A",#REF!)</f>
        <v>N/A</v>
      </c>
    </row>
    <row r="19" spans="9:15" x14ac:dyDescent="0.2">
      <c r="I19" s="265" t="str">
        <f>IF(OR($M$19=80,$M$19=85),"B8",IF(OR($M$19=94,$M$19=95),"B9","N/A"))</f>
        <v>N/A</v>
      </c>
      <c r="J19" s="265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64" t="s">
        <v>494</v>
      </c>
      <c r="L19" s="265" t="str">
        <f t="shared" si="1"/>
        <v>N/A</v>
      </c>
      <c r="M19" s="358" t="str">
        <f>IF(ISERROR(VLOOKUP(C_Engine_Rating S_take_off3, enum_list!$A$2:$F$102,1,1)),"N/A",VLOOKUP(C_Engine_Rating S_take_off3, enum_list!$A$2:$F$102,1,1))</f>
        <v>N/A</v>
      </c>
      <c r="N19" s="267" t="str">
        <f>IF(ISERROR('Calculation with N1 Modifier'!$F$99),"N/A",'Calculation with N1 Modifier'!$F$99)</f>
        <v>N/A</v>
      </c>
      <c r="O19" s="266" t="str">
        <f>IF(ISERROR(#REF!),"N/A",#REF!)</f>
        <v>N/A</v>
      </c>
    </row>
    <row r="20" spans="9:15" x14ac:dyDescent="0.2">
      <c r="I20" s="265" t="str">
        <f>IF(OR($M$20=80,$M$20=85),"B8",IF(OR($M$20=94,$M$20=95),"B9","N/A"))</f>
        <v>N/A</v>
      </c>
      <c r="J20" s="265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64" t="s">
        <v>495</v>
      </c>
      <c r="L20" s="265" t="str">
        <f t="shared" si="1"/>
        <v>N/A</v>
      </c>
      <c r="M20" s="358" t="str">
        <f>IF(ISERROR(VLOOKUP(C_Engine_Rating S_take_off4, enum_list!$A$2:$F$102,1,1)),"N/A",VLOOKUP(C_Engine_Rating S_take_off4, enum_list!$A$2:$F$102,1,1))</f>
        <v>N/A</v>
      </c>
      <c r="N20" s="267" t="str">
        <f>IF(ISERROR('Calculation with N1 Modifier'!$G$99),"N/A",'Calculation with N1 Modifier'!$G$99)</f>
        <v>N/A</v>
      </c>
      <c r="O20" s="266" t="str">
        <f>IF(ISERROR(#REF!),"N/A",#REF!)</f>
        <v>N/A</v>
      </c>
    </row>
    <row r="21" spans="9:15" x14ac:dyDescent="0.2">
      <c r="I21" s="265" t="str">
        <f>IF(OR($M$21=80,$M$21=85),"B8",IF(OR($M$21=94,$M$21=95),"B9","N/A"))</f>
        <v>N/A</v>
      </c>
      <c r="J21" s="265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64" t="s">
        <v>496</v>
      </c>
      <c r="L21" s="265" t="str">
        <f t="shared" si="1"/>
        <v>N/A</v>
      </c>
      <c r="M21" s="358" t="str">
        <f>IF(ISERROR(VLOOKUP(C_Engine_Rating S_take_off5, enum_list!$A$2:$F$102,1,1)),"N/A",VLOOKUP(C_Engine_Rating S_take_off5, enum_list!$A$2:$F$102,1,1))</f>
        <v>N/A</v>
      </c>
      <c r="N21" s="267" t="str">
        <f>IF(ISERROR('Calculation with N1 Modifier'!$H$99),"N/A",'Calculation with N1 Modifier'!$H$99)</f>
        <v>N/A</v>
      </c>
      <c r="O21" s="266" t="str">
        <f>IF(ISERROR(#REF!),"N/A",#REF!)</f>
        <v>N/A</v>
      </c>
    </row>
    <row r="22" spans="9:15" x14ac:dyDescent="0.2">
      <c r="I22" s="265" t="str">
        <f>IF(OR($M$22=80,$M$22=85),"B8",IF(OR($M$22=94,$M$22=95),"B9","N/A"))</f>
        <v>N/A</v>
      </c>
      <c r="J22" s="265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64" t="s">
        <v>497</v>
      </c>
      <c r="L22" s="265" t="str">
        <f t="shared" si="1"/>
        <v>N/A</v>
      </c>
      <c r="M22" s="358" t="str">
        <f>IF(ISERROR(VLOOKUP(C_Engine_Rating S_take_off6, enum_list!$A$2:$F$102,1,1)),"N/A",VLOOKUP(C_Engine_Rating S_take_off6, enum_list!$A$2:$F$102,1,1))</f>
        <v>N/A</v>
      </c>
      <c r="N22" s="267" t="str">
        <f>IF(ISERROR('Calculation with N1 Modifier'!$I$99),"N/A",'Calculation with N1 Modifier'!$I$99)</f>
        <v>N/A</v>
      </c>
      <c r="O22" s="266" t="str">
        <f>IF(ISERROR(#REF!),"N/A",#REF!)</f>
        <v>N/A</v>
      </c>
    </row>
    <row r="23" spans="9:15" x14ac:dyDescent="0.2">
      <c r="I23" s="265" t="str">
        <f>IF(OR($M$23=80,$M$23=85),"B8",IF(OR($M$23=94,$M$23=95),"B9","N/A"))</f>
        <v>N/A</v>
      </c>
      <c r="J23" s="265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64" t="s">
        <v>498</v>
      </c>
      <c r="L23" s="265" t="str">
        <f t="shared" si="1"/>
        <v>N/A</v>
      </c>
      <c r="M23" s="358" t="str">
        <f>IF(ISERROR(VLOOKUP(C_Engine_Rating S_take_off7, enum_list!$A$2:$F$102,1,1)),"N/A",VLOOKUP(C_Engine_Rating S_take_off7, enum_list!$A$2:$F$102,1,1))</f>
        <v>N/A</v>
      </c>
      <c r="N23" s="267" t="str">
        <f>IF(ISERROR('Calculation with N1 Modifier'!$J$99),"N/A",'Calculation with N1 Modifier'!$J$99)</f>
        <v>N/A</v>
      </c>
      <c r="O23" s="266" t="str">
        <f>IF(ISERROR(#REF!),"N/A",#REF!)</f>
        <v>N/A</v>
      </c>
    </row>
    <row r="24" spans="9:15" x14ac:dyDescent="0.2">
      <c r="I24" s="265" t="str">
        <f>IF(OR($M$24=80,$M$24=85),"B8",IF(OR($M$24=94,$M$24=95),"B9","N/A"))</f>
        <v>N/A</v>
      </c>
      <c r="J24" s="265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64" t="s">
        <v>499</v>
      </c>
      <c r="L24" s="265" t="str">
        <f t="shared" si="1"/>
        <v>N/A</v>
      </c>
      <c r="M24" s="358" t="str">
        <f>IF(ISERROR(VLOOKUP(C_Engine_Rating S_take_off8, enum_list!$A$2:$F$102,1,1)),"N/A",VLOOKUP(C_Engine_Rating S_take_off8, enum_list!$A$2:$F$102,1,1))</f>
        <v>N/A</v>
      </c>
      <c r="N24" s="267" t="str">
        <f>IF(ISERROR('Calculation with N1 Modifier'!$K$99),"N/A",'Calculation with N1 Modifier'!$K$99)</f>
        <v>N/A</v>
      </c>
      <c r="O24" s="266" t="str">
        <f>IF(ISERROR(#REF!),"N/A",#REF!)</f>
        <v>N/A</v>
      </c>
    </row>
    <row r="25" spans="9:15" x14ac:dyDescent="0.2">
      <c r="I25" s="265" t="str">
        <f>IF(OR($M$25=80,$M$25=85),"B8",IF(OR($M$25=94,$M$25=95),"B9","N/A"))</f>
        <v>N/A</v>
      </c>
      <c r="J25" s="265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64" t="s">
        <v>500</v>
      </c>
      <c r="L25" s="265" t="str">
        <f t="shared" si="1"/>
        <v>N/A</v>
      </c>
      <c r="M25" s="358" t="str">
        <f>IF(ISERROR(VLOOKUP(C_Engine_Rating S_take_off9, enum_list!$A$2:$F$102,1,1)),"N/A",VLOOKUP(C_Engine_Rating S_take_off9, enum_list!$A$2:$F$102,1,1))</f>
        <v>N/A</v>
      </c>
      <c r="N25" s="267" t="str">
        <f>IF(ISERROR('Calculation with N1 Modifier'!$L$99),"N/A",'Calculation with N1 Modifier'!$L$99)</f>
        <v>N/A</v>
      </c>
      <c r="O25" s="266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82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1:AQ100"/>
  <sheetViews>
    <sheetView topLeftCell="A70" zoomScaleNormal="100" workbookViewId="0">
      <selection activeCell="V36" sqref="V36"/>
    </sheetView>
  </sheetViews>
  <sheetFormatPr defaultRowHeight="12.75" x14ac:dyDescent="0.2"/>
  <sheetData>
    <row r="1" spans="2:28" x14ac:dyDescent="0.2">
      <c r="B1" t="s">
        <v>598</v>
      </c>
    </row>
    <row r="2" spans="2:28" ht="13.5" thickBot="1" x14ac:dyDescent="0.25"/>
    <row r="3" spans="2:28" ht="13.5" thickBot="1" x14ac:dyDescent="0.25">
      <c r="B3" s="643" t="s">
        <v>590</v>
      </c>
      <c r="C3" s="644"/>
      <c r="D3" s="644"/>
      <c r="E3" s="644"/>
      <c r="F3" s="644"/>
      <c r="G3" s="645"/>
      <c r="I3" s="643" t="s">
        <v>591</v>
      </c>
      <c r="J3" s="644"/>
      <c r="K3" s="644"/>
      <c r="L3" s="644"/>
      <c r="M3" s="644"/>
      <c r="N3" s="645"/>
      <c r="P3" s="643" t="s">
        <v>592</v>
      </c>
      <c r="Q3" s="644"/>
      <c r="R3" s="644"/>
      <c r="S3" s="644"/>
      <c r="T3" s="644"/>
      <c r="U3" s="645"/>
      <c r="W3" s="643" t="s">
        <v>593</v>
      </c>
      <c r="X3" s="644"/>
      <c r="Y3" s="644"/>
      <c r="Z3" s="644"/>
      <c r="AA3" s="644"/>
      <c r="AB3" s="645"/>
    </row>
    <row r="4" spans="2:28" ht="13.5" thickBot="1" x14ac:dyDescent="0.25">
      <c r="B4" s="325" t="s">
        <v>506</v>
      </c>
      <c r="C4" s="326" t="s">
        <v>505</v>
      </c>
      <c r="D4" s="326" t="s">
        <v>507</v>
      </c>
      <c r="E4" s="326" t="s">
        <v>508</v>
      </c>
      <c r="F4" s="326" t="s">
        <v>509</v>
      </c>
      <c r="G4" s="327" t="s">
        <v>510</v>
      </c>
      <c r="I4" s="325" t="s">
        <v>506</v>
      </c>
      <c r="J4" s="326" t="s">
        <v>505</v>
      </c>
      <c r="K4" s="326" t="s">
        <v>507</v>
      </c>
      <c r="L4" s="326" t="s">
        <v>508</v>
      </c>
      <c r="M4" s="326" t="s">
        <v>509</v>
      </c>
      <c r="N4" s="327" t="s">
        <v>510</v>
      </c>
      <c r="P4" s="325" t="s">
        <v>506</v>
      </c>
      <c r="Q4" s="326" t="s">
        <v>505</v>
      </c>
      <c r="R4" s="326" t="s">
        <v>507</v>
      </c>
      <c r="S4" s="326" t="s">
        <v>508</v>
      </c>
      <c r="T4" s="326" t="s">
        <v>509</v>
      </c>
      <c r="U4" s="327" t="s">
        <v>510</v>
      </c>
      <c r="W4" s="325" t="s">
        <v>506</v>
      </c>
      <c r="X4" s="326" t="s">
        <v>505</v>
      </c>
      <c r="Y4" s="326" t="s">
        <v>507</v>
      </c>
      <c r="Z4" s="326" t="s">
        <v>508</v>
      </c>
      <c r="AA4" s="326" t="s">
        <v>509</v>
      </c>
      <c r="AB4" s="327" t="s">
        <v>510</v>
      </c>
    </row>
    <row r="5" spans="2:28" x14ac:dyDescent="0.2">
      <c r="B5" s="646" t="s">
        <v>511</v>
      </c>
      <c r="C5" s="333">
        <v>0</v>
      </c>
      <c r="D5" s="328">
        <v>0</v>
      </c>
      <c r="E5" s="328">
        <v>0</v>
      </c>
      <c r="F5" s="328">
        <v>0</v>
      </c>
      <c r="G5" s="329">
        <v>0</v>
      </c>
      <c r="I5" s="646" t="s">
        <v>511</v>
      </c>
      <c r="J5" s="333">
        <v>0</v>
      </c>
      <c r="K5" s="328">
        <v>0</v>
      </c>
      <c r="L5" s="328">
        <v>0</v>
      </c>
      <c r="M5" s="328">
        <v>0</v>
      </c>
      <c r="N5" s="329">
        <v>0</v>
      </c>
      <c r="P5" s="646" t="s">
        <v>511</v>
      </c>
      <c r="Q5" s="333">
        <v>0</v>
      </c>
      <c r="R5" s="328">
        <v>0</v>
      </c>
      <c r="S5" s="328">
        <v>0</v>
      </c>
      <c r="T5" s="328">
        <v>0</v>
      </c>
      <c r="U5" s="329">
        <v>0</v>
      </c>
      <c r="W5" s="646" t="s">
        <v>511</v>
      </c>
      <c r="X5" s="333">
        <v>0</v>
      </c>
      <c r="Y5" s="328">
        <v>0</v>
      </c>
      <c r="Z5" s="328">
        <v>0</v>
      </c>
      <c r="AA5" s="328">
        <v>0</v>
      </c>
      <c r="AB5" s="329">
        <v>0</v>
      </c>
    </row>
    <row r="6" spans="2:28" x14ac:dyDescent="0.2">
      <c r="B6" s="647"/>
      <c r="C6" s="334">
        <v>1</v>
      </c>
      <c r="D6" s="324">
        <v>120</v>
      </c>
      <c r="E6" s="324">
        <v>2</v>
      </c>
      <c r="F6" s="324">
        <v>10</v>
      </c>
      <c r="G6" s="330">
        <v>12</v>
      </c>
      <c r="I6" s="647"/>
      <c r="J6" s="334">
        <v>1</v>
      </c>
      <c r="K6" s="324">
        <v>123</v>
      </c>
      <c r="L6" s="324">
        <v>2</v>
      </c>
      <c r="M6" s="324">
        <v>10</v>
      </c>
      <c r="N6" s="330">
        <v>12</v>
      </c>
      <c r="P6" s="647"/>
      <c r="Q6" s="334">
        <v>1</v>
      </c>
      <c r="R6" s="324">
        <v>125</v>
      </c>
      <c r="S6" s="324">
        <v>2</v>
      </c>
      <c r="T6" s="324">
        <v>11</v>
      </c>
      <c r="U6" s="330">
        <v>12</v>
      </c>
      <c r="W6" s="647"/>
      <c r="X6" s="334">
        <v>1</v>
      </c>
      <c r="Y6" s="324">
        <v>107</v>
      </c>
      <c r="Z6" s="324">
        <v>1</v>
      </c>
      <c r="AA6" s="324">
        <v>9</v>
      </c>
      <c r="AB6" s="330">
        <v>7</v>
      </c>
    </row>
    <row r="7" spans="2:28" x14ac:dyDescent="0.2">
      <c r="B7" s="647"/>
      <c r="C7" s="334">
        <v>2</v>
      </c>
      <c r="D7" s="324">
        <v>239</v>
      </c>
      <c r="E7" s="324">
        <v>4</v>
      </c>
      <c r="F7" s="324">
        <v>17</v>
      </c>
      <c r="G7" s="330">
        <v>23</v>
      </c>
      <c r="I7" s="647"/>
      <c r="J7" s="334">
        <v>2</v>
      </c>
      <c r="K7" s="324">
        <v>246</v>
      </c>
      <c r="L7" s="324">
        <v>4</v>
      </c>
      <c r="M7" s="324">
        <v>20</v>
      </c>
      <c r="N7" s="330">
        <v>24</v>
      </c>
      <c r="P7" s="647"/>
      <c r="Q7" s="334">
        <v>2</v>
      </c>
      <c r="R7" s="324">
        <v>250</v>
      </c>
      <c r="S7" s="324">
        <v>5</v>
      </c>
      <c r="T7" s="324">
        <v>21</v>
      </c>
      <c r="U7" s="330">
        <v>24</v>
      </c>
      <c r="W7" s="647"/>
      <c r="X7" s="334">
        <v>2</v>
      </c>
      <c r="Y7" s="324">
        <v>213</v>
      </c>
      <c r="Z7" s="324">
        <v>3</v>
      </c>
      <c r="AA7" s="324">
        <v>16</v>
      </c>
      <c r="AB7" s="330">
        <v>14</v>
      </c>
    </row>
    <row r="8" spans="2:28" x14ac:dyDescent="0.2">
      <c r="B8" s="647"/>
      <c r="C8" s="334">
        <v>3</v>
      </c>
      <c r="D8" s="324">
        <v>358</v>
      </c>
      <c r="E8" s="324">
        <v>6</v>
      </c>
      <c r="F8" s="324">
        <v>26</v>
      </c>
      <c r="G8" s="330">
        <v>35</v>
      </c>
      <c r="I8" s="647"/>
      <c r="J8" s="334">
        <v>3</v>
      </c>
      <c r="K8" s="324">
        <v>368</v>
      </c>
      <c r="L8" s="324">
        <v>7</v>
      </c>
      <c r="M8" s="324">
        <v>30</v>
      </c>
      <c r="N8" s="330">
        <v>36</v>
      </c>
      <c r="P8" s="647"/>
      <c r="Q8" s="334">
        <v>3</v>
      </c>
      <c r="R8" s="324">
        <v>375</v>
      </c>
      <c r="S8" s="324">
        <v>7</v>
      </c>
      <c r="T8" s="324">
        <v>31</v>
      </c>
      <c r="U8" s="330">
        <v>36</v>
      </c>
      <c r="W8" s="647"/>
      <c r="X8" s="334">
        <v>3</v>
      </c>
      <c r="Y8" s="324">
        <v>320</v>
      </c>
      <c r="Z8" s="324">
        <v>5</v>
      </c>
      <c r="AA8" s="324">
        <v>24</v>
      </c>
      <c r="AB8" s="330">
        <v>21</v>
      </c>
    </row>
    <row r="9" spans="2:28" x14ac:dyDescent="0.2">
      <c r="B9" s="647"/>
      <c r="C9" s="334">
        <v>4</v>
      </c>
      <c r="D9" s="324">
        <v>490</v>
      </c>
      <c r="E9" s="324">
        <v>8</v>
      </c>
      <c r="F9" s="324">
        <v>35</v>
      </c>
      <c r="G9" s="330">
        <v>46</v>
      </c>
      <c r="I9" s="647"/>
      <c r="J9" s="334">
        <v>4</v>
      </c>
      <c r="K9" s="324">
        <v>493</v>
      </c>
      <c r="L9" s="324">
        <v>9</v>
      </c>
      <c r="M9" s="324">
        <v>40</v>
      </c>
      <c r="N9" s="330">
        <v>48</v>
      </c>
      <c r="P9" s="647"/>
      <c r="Q9" s="334">
        <v>4</v>
      </c>
      <c r="R9" s="324">
        <v>499</v>
      </c>
      <c r="S9" s="324">
        <v>10</v>
      </c>
      <c r="T9" s="324">
        <v>41</v>
      </c>
      <c r="U9" s="330">
        <v>48</v>
      </c>
      <c r="W9" s="647"/>
      <c r="X9" s="334">
        <v>4</v>
      </c>
      <c r="Y9" s="324">
        <v>427</v>
      </c>
      <c r="Z9" s="324">
        <v>6</v>
      </c>
      <c r="AA9" s="324">
        <v>32</v>
      </c>
      <c r="AB9" s="330">
        <v>28</v>
      </c>
    </row>
    <row r="10" spans="2:28" x14ac:dyDescent="0.2">
      <c r="B10" s="647"/>
      <c r="C10" s="334">
        <v>5</v>
      </c>
      <c r="D10" s="324">
        <v>625</v>
      </c>
      <c r="E10" s="324">
        <v>10</v>
      </c>
      <c r="F10" s="324">
        <v>45</v>
      </c>
      <c r="G10" s="330">
        <v>57</v>
      </c>
      <c r="I10" s="647"/>
      <c r="J10" s="334">
        <v>5</v>
      </c>
      <c r="K10" s="324">
        <v>617</v>
      </c>
      <c r="L10" s="324">
        <v>11</v>
      </c>
      <c r="M10" s="324">
        <v>50</v>
      </c>
      <c r="N10" s="330">
        <v>60</v>
      </c>
      <c r="P10" s="647"/>
      <c r="Q10" s="334">
        <v>5</v>
      </c>
      <c r="R10" s="324">
        <v>617</v>
      </c>
      <c r="S10" s="324">
        <v>12</v>
      </c>
      <c r="T10" s="324">
        <v>52</v>
      </c>
      <c r="U10" s="330">
        <v>60</v>
      </c>
      <c r="W10" s="647"/>
      <c r="X10" s="334">
        <v>5</v>
      </c>
      <c r="Y10" s="324">
        <v>537</v>
      </c>
      <c r="Z10" s="324">
        <v>8</v>
      </c>
      <c r="AA10" s="324">
        <v>40</v>
      </c>
      <c r="AB10" s="330">
        <v>35</v>
      </c>
    </row>
    <row r="11" spans="2:28" x14ac:dyDescent="0.2">
      <c r="B11" s="647"/>
      <c r="C11" s="334">
        <v>6</v>
      </c>
      <c r="D11" s="324">
        <v>828</v>
      </c>
      <c r="E11" s="324">
        <v>14</v>
      </c>
      <c r="F11" s="324">
        <v>60</v>
      </c>
      <c r="G11" s="330">
        <v>75</v>
      </c>
      <c r="I11" s="647"/>
      <c r="J11" s="334">
        <v>6</v>
      </c>
      <c r="K11" s="324">
        <v>803</v>
      </c>
      <c r="L11" s="324">
        <v>14</v>
      </c>
      <c r="M11" s="324">
        <v>66</v>
      </c>
      <c r="N11" s="330">
        <v>78</v>
      </c>
      <c r="P11" s="647"/>
      <c r="Q11" s="334">
        <v>6</v>
      </c>
      <c r="R11" s="324">
        <v>788</v>
      </c>
      <c r="S11" s="324">
        <v>16</v>
      </c>
      <c r="T11" s="324">
        <v>68</v>
      </c>
      <c r="U11" s="330">
        <v>78</v>
      </c>
      <c r="W11" s="647"/>
      <c r="X11" s="334">
        <v>6</v>
      </c>
      <c r="Y11" s="324">
        <v>709</v>
      </c>
      <c r="Z11" s="324">
        <v>10</v>
      </c>
      <c r="AA11" s="324">
        <v>53</v>
      </c>
      <c r="AB11" s="330">
        <v>46</v>
      </c>
    </row>
    <row r="12" spans="2:28" ht="13.5" thickBot="1" x14ac:dyDescent="0.25">
      <c r="B12" s="648"/>
      <c r="C12" s="335">
        <v>7</v>
      </c>
      <c r="D12" s="331">
        <v>1110</v>
      </c>
      <c r="E12" s="331">
        <v>18</v>
      </c>
      <c r="F12" s="331">
        <v>80</v>
      </c>
      <c r="G12" s="332">
        <v>98</v>
      </c>
      <c r="I12" s="648"/>
      <c r="J12" s="335">
        <v>7</v>
      </c>
      <c r="K12" s="331">
        <v>1052</v>
      </c>
      <c r="L12" s="331">
        <v>18</v>
      </c>
      <c r="M12" s="331">
        <v>85</v>
      </c>
      <c r="N12" s="332">
        <v>102</v>
      </c>
      <c r="P12" s="648"/>
      <c r="Q12" s="335">
        <v>7</v>
      </c>
      <c r="R12" s="331">
        <v>1016</v>
      </c>
      <c r="S12" s="331">
        <v>20</v>
      </c>
      <c r="T12" s="331">
        <v>91</v>
      </c>
      <c r="U12" s="332">
        <v>102</v>
      </c>
      <c r="W12" s="648"/>
      <c r="X12" s="335">
        <v>7</v>
      </c>
      <c r="Y12" s="331">
        <v>913</v>
      </c>
      <c r="Z12" s="331">
        <v>13</v>
      </c>
      <c r="AA12" s="331">
        <v>69</v>
      </c>
      <c r="AB12" s="332">
        <v>59</v>
      </c>
    </row>
    <row r="13" spans="2:28" x14ac:dyDescent="0.2">
      <c r="B13" s="646" t="s">
        <v>512</v>
      </c>
      <c r="C13" s="333">
        <v>0</v>
      </c>
      <c r="D13" s="328">
        <v>0</v>
      </c>
      <c r="E13" s="328">
        <v>0</v>
      </c>
      <c r="F13" s="328">
        <v>0</v>
      </c>
      <c r="G13" s="329">
        <v>0</v>
      </c>
      <c r="I13" s="646" t="s">
        <v>512</v>
      </c>
      <c r="J13" s="333">
        <v>0</v>
      </c>
      <c r="K13" s="328">
        <v>0</v>
      </c>
      <c r="L13" s="328">
        <v>0</v>
      </c>
      <c r="M13" s="328">
        <v>0</v>
      </c>
      <c r="N13" s="329">
        <v>0</v>
      </c>
      <c r="P13" s="646" t="s">
        <v>512</v>
      </c>
      <c r="Q13" s="333">
        <v>0</v>
      </c>
      <c r="R13" s="328">
        <v>0</v>
      </c>
      <c r="S13" s="328">
        <v>0</v>
      </c>
      <c r="T13" s="328">
        <v>0</v>
      </c>
      <c r="U13" s="329">
        <v>0</v>
      </c>
      <c r="W13" s="646" t="s">
        <v>512</v>
      </c>
      <c r="X13" s="333">
        <v>0</v>
      </c>
      <c r="Y13" s="328">
        <v>0</v>
      </c>
      <c r="Z13" s="328">
        <v>0</v>
      </c>
      <c r="AA13" s="328">
        <v>0</v>
      </c>
      <c r="AB13" s="329">
        <v>0</v>
      </c>
    </row>
    <row r="14" spans="2:28" x14ac:dyDescent="0.2">
      <c r="B14" s="647"/>
      <c r="C14" s="334">
        <v>1</v>
      </c>
      <c r="D14" s="324">
        <v>116</v>
      </c>
      <c r="E14" s="324">
        <v>2</v>
      </c>
      <c r="F14" s="324">
        <v>8</v>
      </c>
      <c r="G14" s="330">
        <v>10</v>
      </c>
      <c r="I14" s="647"/>
      <c r="J14" s="334">
        <v>1</v>
      </c>
      <c r="K14" s="324">
        <v>116</v>
      </c>
      <c r="L14" s="324">
        <v>2</v>
      </c>
      <c r="M14" s="324">
        <v>8</v>
      </c>
      <c r="N14" s="330">
        <v>10</v>
      </c>
      <c r="P14" s="647"/>
      <c r="Q14" s="334">
        <v>1</v>
      </c>
      <c r="R14" s="324">
        <v>118</v>
      </c>
      <c r="S14" s="324">
        <v>2</v>
      </c>
      <c r="T14" s="324">
        <v>8</v>
      </c>
      <c r="U14" s="330">
        <v>10</v>
      </c>
      <c r="W14" s="647"/>
      <c r="X14" s="334">
        <v>1</v>
      </c>
      <c r="Y14" s="324">
        <v>96</v>
      </c>
      <c r="Z14" s="324">
        <v>1</v>
      </c>
      <c r="AA14" s="324">
        <v>8</v>
      </c>
      <c r="AB14" s="330">
        <v>6</v>
      </c>
    </row>
    <row r="15" spans="2:28" x14ac:dyDescent="0.2">
      <c r="B15" s="647"/>
      <c r="C15" s="334">
        <v>2</v>
      </c>
      <c r="D15" s="324">
        <v>242</v>
      </c>
      <c r="E15" s="324">
        <v>4</v>
      </c>
      <c r="F15" s="324">
        <v>17</v>
      </c>
      <c r="G15" s="330">
        <v>20</v>
      </c>
      <c r="I15" s="647"/>
      <c r="J15" s="334">
        <v>2</v>
      </c>
      <c r="K15" s="324">
        <v>242</v>
      </c>
      <c r="L15" s="324">
        <v>4</v>
      </c>
      <c r="M15" s="324">
        <v>17</v>
      </c>
      <c r="N15" s="330">
        <v>20</v>
      </c>
      <c r="P15" s="647"/>
      <c r="Q15" s="334">
        <v>2</v>
      </c>
      <c r="R15" s="324">
        <v>244</v>
      </c>
      <c r="S15" s="324">
        <v>4</v>
      </c>
      <c r="T15" s="324">
        <v>18</v>
      </c>
      <c r="U15" s="330">
        <v>20</v>
      </c>
      <c r="W15" s="647"/>
      <c r="X15" s="334">
        <v>2</v>
      </c>
      <c r="Y15" s="324">
        <v>190</v>
      </c>
      <c r="Z15" s="324">
        <v>2</v>
      </c>
      <c r="AA15" s="324">
        <v>16</v>
      </c>
      <c r="AB15" s="330">
        <v>12</v>
      </c>
    </row>
    <row r="16" spans="2:28" x14ac:dyDescent="0.2">
      <c r="B16" s="647"/>
      <c r="C16" s="334">
        <v>3</v>
      </c>
      <c r="D16" s="324">
        <v>369</v>
      </c>
      <c r="E16" s="324">
        <v>6</v>
      </c>
      <c r="F16" s="324">
        <v>27</v>
      </c>
      <c r="G16" s="330">
        <v>30</v>
      </c>
      <c r="I16" s="647"/>
      <c r="J16" s="334">
        <v>3</v>
      </c>
      <c r="K16" s="324">
        <v>369</v>
      </c>
      <c r="L16" s="324">
        <v>6</v>
      </c>
      <c r="M16" s="324">
        <v>27</v>
      </c>
      <c r="N16" s="330">
        <v>30</v>
      </c>
      <c r="P16" s="647"/>
      <c r="Q16" s="334">
        <v>3</v>
      </c>
      <c r="R16" s="324">
        <v>373</v>
      </c>
      <c r="S16" s="324">
        <v>6</v>
      </c>
      <c r="T16" s="324">
        <v>27</v>
      </c>
      <c r="U16" s="330">
        <v>30</v>
      </c>
      <c r="W16" s="647"/>
      <c r="X16" s="334">
        <v>3</v>
      </c>
      <c r="Y16" s="324">
        <v>285</v>
      </c>
      <c r="Z16" s="324">
        <v>3</v>
      </c>
      <c r="AA16" s="324">
        <v>24</v>
      </c>
      <c r="AB16" s="330">
        <v>18</v>
      </c>
    </row>
    <row r="17" spans="2:36" x14ac:dyDescent="0.2">
      <c r="B17" s="647"/>
      <c r="C17" s="334">
        <v>4</v>
      </c>
      <c r="D17" s="324">
        <v>497</v>
      </c>
      <c r="E17" s="324">
        <v>8</v>
      </c>
      <c r="F17" s="324">
        <v>36</v>
      </c>
      <c r="G17" s="330">
        <v>40</v>
      </c>
      <c r="I17" s="647"/>
      <c r="J17" s="334">
        <v>4</v>
      </c>
      <c r="K17" s="324">
        <v>497</v>
      </c>
      <c r="L17" s="324">
        <v>8</v>
      </c>
      <c r="M17" s="324">
        <v>36</v>
      </c>
      <c r="N17" s="330">
        <v>40</v>
      </c>
      <c r="P17" s="647"/>
      <c r="Q17" s="334">
        <v>4</v>
      </c>
      <c r="R17" s="324">
        <v>502</v>
      </c>
      <c r="S17" s="324">
        <v>8</v>
      </c>
      <c r="T17" s="324">
        <v>37</v>
      </c>
      <c r="U17" s="330">
        <v>40</v>
      </c>
      <c r="W17" s="647"/>
      <c r="X17" s="334">
        <v>4</v>
      </c>
      <c r="Y17" s="324">
        <v>396</v>
      </c>
      <c r="Z17" s="324">
        <v>5</v>
      </c>
      <c r="AA17" s="324">
        <v>33</v>
      </c>
      <c r="AB17" s="330">
        <v>25</v>
      </c>
      <c r="AF17" s="351"/>
      <c r="AG17" s="351"/>
      <c r="AH17" s="352"/>
      <c r="AI17" s="351"/>
      <c r="AJ17" s="351"/>
    </row>
    <row r="18" spans="2:36" x14ac:dyDescent="0.2">
      <c r="B18" s="647"/>
      <c r="C18" s="334">
        <v>5</v>
      </c>
      <c r="D18" s="324">
        <v>625</v>
      </c>
      <c r="E18" s="324">
        <v>10</v>
      </c>
      <c r="F18" s="324">
        <v>46</v>
      </c>
      <c r="G18" s="330">
        <v>50</v>
      </c>
      <c r="I18" s="647"/>
      <c r="J18" s="334">
        <v>5</v>
      </c>
      <c r="K18" s="324">
        <v>625</v>
      </c>
      <c r="L18" s="324">
        <v>10</v>
      </c>
      <c r="M18" s="324">
        <v>46</v>
      </c>
      <c r="N18" s="330">
        <v>50</v>
      </c>
      <c r="P18" s="647"/>
      <c r="Q18" s="334">
        <v>5</v>
      </c>
      <c r="R18" s="324">
        <v>631</v>
      </c>
      <c r="S18" s="324">
        <v>10</v>
      </c>
      <c r="T18" s="324">
        <v>46</v>
      </c>
      <c r="U18" s="330">
        <v>50</v>
      </c>
      <c r="W18" s="647"/>
      <c r="X18" s="334">
        <v>5</v>
      </c>
      <c r="Y18" s="324">
        <v>490</v>
      </c>
      <c r="Z18" s="324">
        <v>6</v>
      </c>
      <c r="AA18" s="324">
        <v>41</v>
      </c>
      <c r="AB18" s="330">
        <v>31</v>
      </c>
      <c r="AF18" s="351"/>
      <c r="AG18" s="351"/>
      <c r="AH18" s="352"/>
      <c r="AI18" s="351"/>
      <c r="AJ18" s="351"/>
    </row>
    <row r="19" spans="2:36" x14ac:dyDescent="0.2">
      <c r="B19" s="647"/>
      <c r="C19" s="334">
        <v>6</v>
      </c>
      <c r="D19" s="324">
        <v>819</v>
      </c>
      <c r="E19" s="324">
        <v>13</v>
      </c>
      <c r="F19" s="324">
        <v>60</v>
      </c>
      <c r="G19" s="330">
        <v>64</v>
      </c>
      <c r="I19" s="647"/>
      <c r="J19" s="334">
        <v>6</v>
      </c>
      <c r="K19" s="324">
        <v>819</v>
      </c>
      <c r="L19" s="324">
        <v>13</v>
      </c>
      <c r="M19" s="324">
        <v>60</v>
      </c>
      <c r="N19" s="330">
        <v>64</v>
      </c>
      <c r="P19" s="647"/>
      <c r="Q19" s="334">
        <v>6</v>
      </c>
      <c r="R19" s="324">
        <v>814</v>
      </c>
      <c r="S19" s="324">
        <v>13</v>
      </c>
      <c r="T19" s="324">
        <v>60</v>
      </c>
      <c r="U19" s="330">
        <v>64</v>
      </c>
      <c r="W19" s="647"/>
      <c r="X19" s="334">
        <v>6</v>
      </c>
      <c r="Y19" s="324">
        <v>632</v>
      </c>
      <c r="Z19" s="324">
        <v>7</v>
      </c>
      <c r="AA19" s="324">
        <v>53</v>
      </c>
      <c r="AB19" s="330">
        <v>40</v>
      </c>
      <c r="AF19" s="351"/>
      <c r="AG19" s="351"/>
      <c r="AH19" s="352"/>
      <c r="AI19" s="351"/>
      <c r="AJ19" s="351"/>
    </row>
    <row r="20" spans="2:36" ht="13.5" thickBot="1" x14ac:dyDescent="0.25">
      <c r="B20" s="648"/>
      <c r="C20" s="335">
        <v>7</v>
      </c>
      <c r="D20" s="331">
        <v>1094</v>
      </c>
      <c r="E20" s="331">
        <v>17</v>
      </c>
      <c r="F20" s="331">
        <v>81</v>
      </c>
      <c r="G20" s="332">
        <v>84</v>
      </c>
      <c r="I20" s="648"/>
      <c r="J20" s="335">
        <v>7</v>
      </c>
      <c r="K20" s="331">
        <v>1094</v>
      </c>
      <c r="L20" s="331">
        <v>17</v>
      </c>
      <c r="M20" s="331">
        <v>81</v>
      </c>
      <c r="N20" s="332">
        <v>84</v>
      </c>
      <c r="P20" s="648"/>
      <c r="Q20" s="335">
        <v>7</v>
      </c>
      <c r="R20" s="331">
        <v>1091</v>
      </c>
      <c r="S20" s="331">
        <v>17</v>
      </c>
      <c r="T20" s="331">
        <v>80</v>
      </c>
      <c r="U20" s="332">
        <v>84</v>
      </c>
      <c r="W20" s="648"/>
      <c r="X20" s="335">
        <v>7</v>
      </c>
      <c r="Y20" s="331">
        <v>822</v>
      </c>
      <c r="Z20" s="331">
        <v>9</v>
      </c>
      <c r="AA20" s="331">
        <v>69</v>
      </c>
      <c r="AB20" s="332">
        <v>52</v>
      </c>
      <c r="AF20" s="351"/>
      <c r="AG20" s="351"/>
      <c r="AH20" s="352"/>
      <c r="AI20" s="351"/>
      <c r="AJ20" s="351"/>
    </row>
    <row r="21" spans="2:36" x14ac:dyDescent="0.2">
      <c r="AF21" s="351"/>
      <c r="AG21" s="351"/>
      <c r="AH21" s="352"/>
      <c r="AI21" s="351"/>
      <c r="AJ21" s="351"/>
    </row>
    <row r="22" spans="2:36" x14ac:dyDescent="0.2">
      <c r="AF22" s="351"/>
      <c r="AG22" s="351"/>
      <c r="AH22" s="352"/>
      <c r="AI22" s="351"/>
      <c r="AJ22" s="351"/>
    </row>
    <row r="23" spans="2:36" ht="13.5" thickBot="1" x14ac:dyDescent="0.25">
      <c r="AF23" s="351"/>
      <c r="AG23" s="351"/>
      <c r="AH23" s="352"/>
      <c r="AI23" s="351"/>
      <c r="AJ23" s="351"/>
    </row>
    <row r="24" spans="2:36" ht="13.5" thickBot="1" x14ac:dyDescent="0.25">
      <c r="B24" s="643" t="s">
        <v>594</v>
      </c>
      <c r="C24" s="644"/>
      <c r="D24" s="644"/>
      <c r="E24" s="644"/>
      <c r="F24" s="644"/>
      <c r="G24" s="645"/>
      <c r="I24" s="643" t="s">
        <v>595</v>
      </c>
      <c r="J24" s="644"/>
      <c r="K24" s="644"/>
      <c r="L24" s="644"/>
      <c r="M24" s="644"/>
      <c r="N24" s="645"/>
      <c r="P24" s="643" t="s">
        <v>596</v>
      </c>
      <c r="Q24" s="644"/>
      <c r="R24" s="644"/>
      <c r="S24" s="644"/>
      <c r="T24" s="644"/>
      <c r="U24" s="645"/>
      <c r="W24" s="643" t="s">
        <v>597</v>
      </c>
      <c r="X24" s="644"/>
      <c r="Y24" s="644"/>
      <c r="Z24" s="644"/>
      <c r="AA24" s="644"/>
      <c r="AB24" s="645"/>
      <c r="AF24" s="351"/>
      <c r="AG24" s="351"/>
      <c r="AH24" s="352"/>
      <c r="AI24" s="351"/>
      <c r="AJ24" s="351"/>
    </row>
    <row r="25" spans="2:36" ht="13.5" thickBot="1" x14ac:dyDescent="0.25">
      <c r="B25" s="325" t="s">
        <v>506</v>
      </c>
      <c r="C25" s="326" t="s">
        <v>505</v>
      </c>
      <c r="D25" s="326" t="s">
        <v>507</v>
      </c>
      <c r="E25" s="326" t="s">
        <v>508</v>
      </c>
      <c r="F25" s="326" t="s">
        <v>509</v>
      </c>
      <c r="G25" s="327" t="s">
        <v>510</v>
      </c>
      <c r="I25" s="325" t="s">
        <v>506</v>
      </c>
      <c r="J25" s="326" t="s">
        <v>505</v>
      </c>
      <c r="K25" s="326" t="s">
        <v>507</v>
      </c>
      <c r="L25" s="326" t="s">
        <v>508</v>
      </c>
      <c r="M25" s="326" t="s">
        <v>509</v>
      </c>
      <c r="N25" s="327" t="s">
        <v>510</v>
      </c>
      <c r="P25" s="325" t="s">
        <v>506</v>
      </c>
      <c r="Q25" s="326" t="s">
        <v>505</v>
      </c>
      <c r="R25" s="326" t="s">
        <v>507</v>
      </c>
      <c r="S25" s="326" t="s">
        <v>508</v>
      </c>
      <c r="T25" s="326" t="s">
        <v>509</v>
      </c>
      <c r="U25" s="327" t="s">
        <v>510</v>
      </c>
      <c r="W25" s="325" t="s">
        <v>506</v>
      </c>
      <c r="X25" s="326" t="s">
        <v>505</v>
      </c>
      <c r="Y25" s="326" t="s">
        <v>507</v>
      </c>
      <c r="Z25" s="326" t="s">
        <v>508</v>
      </c>
      <c r="AA25" s="326" t="s">
        <v>509</v>
      </c>
      <c r="AB25" s="327" t="s">
        <v>510</v>
      </c>
      <c r="AF25" s="351"/>
      <c r="AG25" s="351"/>
      <c r="AH25" s="352"/>
      <c r="AI25" s="351"/>
      <c r="AJ25" s="351"/>
    </row>
    <row r="26" spans="2:36" x14ac:dyDescent="0.2">
      <c r="B26" s="646" t="s">
        <v>511</v>
      </c>
      <c r="C26" s="333">
        <v>0</v>
      </c>
      <c r="D26" s="328">
        <v>0</v>
      </c>
      <c r="E26" s="328">
        <v>0</v>
      </c>
      <c r="F26" s="328">
        <v>0</v>
      </c>
      <c r="G26" s="329">
        <v>0</v>
      </c>
      <c r="I26" s="646" t="s">
        <v>511</v>
      </c>
      <c r="J26" s="333">
        <v>0</v>
      </c>
      <c r="K26" s="328">
        <v>0</v>
      </c>
      <c r="L26" s="328">
        <v>0</v>
      </c>
      <c r="M26" s="328">
        <v>0</v>
      </c>
      <c r="N26" s="329">
        <v>0</v>
      </c>
      <c r="P26" s="646" t="s">
        <v>511</v>
      </c>
      <c r="Q26" s="333">
        <v>0</v>
      </c>
      <c r="R26" s="328">
        <v>0</v>
      </c>
      <c r="S26" s="328">
        <v>0</v>
      </c>
      <c r="T26" s="328">
        <v>0</v>
      </c>
      <c r="U26" s="329">
        <v>0</v>
      </c>
      <c r="W26" s="646" t="s">
        <v>511</v>
      </c>
      <c r="X26" s="333">
        <v>0</v>
      </c>
      <c r="Y26" s="328">
        <v>0</v>
      </c>
      <c r="Z26" s="328">
        <v>0</v>
      </c>
      <c r="AA26" s="328">
        <v>0</v>
      </c>
      <c r="AB26" s="329">
        <v>0</v>
      </c>
    </row>
    <row r="27" spans="2:36" x14ac:dyDescent="0.2">
      <c r="B27" s="647"/>
      <c r="C27" s="334">
        <v>1</v>
      </c>
      <c r="D27" s="324">
        <v>85</v>
      </c>
      <c r="E27" s="324">
        <v>2</v>
      </c>
      <c r="F27" s="324">
        <v>7</v>
      </c>
      <c r="G27" s="330">
        <v>6</v>
      </c>
      <c r="I27" s="647"/>
      <c r="J27" s="334">
        <v>1</v>
      </c>
      <c r="K27" s="324">
        <v>92</v>
      </c>
      <c r="L27" s="324">
        <v>1</v>
      </c>
      <c r="M27" s="324">
        <v>7</v>
      </c>
      <c r="N27" s="330">
        <v>6</v>
      </c>
      <c r="P27" s="647"/>
      <c r="Q27" s="334">
        <v>1</v>
      </c>
      <c r="R27" s="324">
        <v>85</v>
      </c>
      <c r="S27" s="324">
        <v>2</v>
      </c>
      <c r="T27" s="324">
        <v>7</v>
      </c>
      <c r="U27" s="330">
        <v>6</v>
      </c>
      <c r="W27" s="647"/>
      <c r="X27" s="334">
        <v>1</v>
      </c>
      <c r="Y27" s="324">
        <v>92</v>
      </c>
      <c r="Z27" s="324">
        <v>1</v>
      </c>
      <c r="AA27" s="324">
        <v>7</v>
      </c>
      <c r="AB27" s="330">
        <v>6</v>
      </c>
    </row>
    <row r="28" spans="2:36" x14ac:dyDescent="0.2">
      <c r="B28" s="647"/>
      <c r="C28" s="334">
        <v>2</v>
      </c>
      <c r="D28" s="324">
        <v>170</v>
      </c>
      <c r="E28" s="324">
        <v>2</v>
      </c>
      <c r="F28" s="324">
        <v>14</v>
      </c>
      <c r="G28" s="330">
        <v>12</v>
      </c>
      <c r="I28" s="647"/>
      <c r="J28" s="334">
        <v>2</v>
      </c>
      <c r="K28" s="324">
        <v>185</v>
      </c>
      <c r="L28" s="324">
        <v>3</v>
      </c>
      <c r="M28" s="324">
        <v>15</v>
      </c>
      <c r="N28" s="330">
        <v>12</v>
      </c>
      <c r="P28" s="647"/>
      <c r="Q28" s="334">
        <v>2</v>
      </c>
      <c r="R28" s="324">
        <v>170</v>
      </c>
      <c r="S28" s="324">
        <v>2</v>
      </c>
      <c r="T28" s="324">
        <v>14</v>
      </c>
      <c r="U28" s="330">
        <v>12</v>
      </c>
      <c r="W28" s="647"/>
      <c r="X28" s="334">
        <v>2</v>
      </c>
      <c r="Y28" s="324">
        <v>185</v>
      </c>
      <c r="Z28" s="324">
        <v>3</v>
      </c>
      <c r="AA28" s="324">
        <v>15</v>
      </c>
      <c r="AB28" s="330">
        <v>12</v>
      </c>
    </row>
    <row r="29" spans="2:36" x14ac:dyDescent="0.2">
      <c r="B29" s="647"/>
      <c r="C29" s="334">
        <v>3</v>
      </c>
      <c r="D29" s="324">
        <v>255</v>
      </c>
      <c r="E29" s="324">
        <v>4</v>
      </c>
      <c r="F29" s="324">
        <v>21</v>
      </c>
      <c r="G29" s="330">
        <v>18</v>
      </c>
      <c r="I29" s="647"/>
      <c r="J29" s="334">
        <v>3</v>
      </c>
      <c r="K29" s="324">
        <v>277</v>
      </c>
      <c r="L29" s="324">
        <v>4</v>
      </c>
      <c r="M29" s="324">
        <v>23</v>
      </c>
      <c r="N29" s="330">
        <v>18</v>
      </c>
      <c r="P29" s="647"/>
      <c r="Q29" s="334">
        <v>3</v>
      </c>
      <c r="R29" s="324">
        <v>255</v>
      </c>
      <c r="S29" s="324">
        <v>4</v>
      </c>
      <c r="T29" s="324">
        <v>21</v>
      </c>
      <c r="U29" s="330">
        <v>18</v>
      </c>
      <c r="W29" s="647"/>
      <c r="X29" s="334">
        <v>3</v>
      </c>
      <c r="Y29" s="324">
        <v>277</v>
      </c>
      <c r="Z29" s="324">
        <v>4</v>
      </c>
      <c r="AA29" s="324">
        <v>23</v>
      </c>
      <c r="AB29" s="330">
        <v>18</v>
      </c>
    </row>
    <row r="30" spans="2:36" x14ac:dyDescent="0.2">
      <c r="B30" s="647"/>
      <c r="C30" s="334">
        <v>4</v>
      </c>
      <c r="D30" s="324">
        <v>354</v>
      </c>
      <c r="E30" s="324">
        <v>5</v>
      </c>
      <c r="F30" s="324">
        <v>29</v>
      </c>
      <c r="G30" s="330">
        <v>25</v>
      </c>
      <c r="I30" s="647"/>
      <c r="J30" s="334">
        <v>4</v>
      </c>
      <c r="K30" s="324">
        <v>385</v>
      </c>
      <c r="L30" s="324">
        <v>6</v>
      </c>
      <c r="M30" s="324">
        <v>32</v>
      </c>
      <c r="N30" s="330">
        <v>25</v>
      </c>
      <c r="P30" s="647"/>
      <c r="Q30" s="334">
        <v>4</v>
      </c>
      <c r="R30" s="324">
        <v>354</v>
      </c>
      <c r="S30" s="324">
        <v>5</v>
      </c>
      <c r="T30" s="324">
        <v>29</v>
      </c>
      <c r="U30" s="330">
        <v>25</v>
      </c>
      <c r="W30" s="647"/>
      <c r="X30" s="334">
        <v>4</v>
      </c>
      <c r="Y30" s="324">
        <v>385</v>
      </c>
      <c r="Z30" s="324">
        <v>6</v>
      </c>
      <c r="AA30" s="324">
        <v>32</v>
      </c>
      <c r="AB30" s="330">
        <v>25</v>
      </c>
    </row>
    <row r="31" spans="2:36" x14ac:dyDescent="0.2">
      <c r="B31" s="647"/>
      <c r="C31" s="334">
        <v>5</v>
      </c>
      <c r="D31" s="324">
        <v>439</v>
      </c>
      <c r="E31" s="324">
        <v>6</v>
      </c>
      <c r="F31" s="324">
        <v>36</v>
      </c>
      <c r="G31" s="330">
        <v>31</v>
      </c>
      <c r="I31" s="647"/>
      <c r="J31" s="334">
        <v>5</v>
      </c>
      <c r="K31" s="324">
        <v>477</v>
      </c>
      <c r="L31" s="324">
        <v>7</v>
      </c>
      <c r="M31" s="324">
        <v>40</v>
      </c>
      <c r="N31" s="330">
        <v>31</v>
      </c>
      <c r="P31" s="647"/>
      <c r="Q31" s="334">
        <v>5</v>
      </c>
      <c r="R31" s="324">
        <v>439</v>
      </c>
      <c r="S31" s="324">
        <v>6</v>
      </c>
      <c r="T31" s="324">
        <v>36</v>
      </c>
      <c r="U31" s="330">
        <v>31</v>
      </c>
      <c r="W31" s="647"/>
      <c r="X31" s="334">
        <v>5</v>
      </c>
      <c r="Y31" s="324">
        <v>477</v>
      </c>
      <c r="Z31" s="324">
        <v>7</v>
      </c>
      <c r="AA31" s="324">
        <v>40</v>
      </c>
      <c r="AB31" s="330">
        <v>31</v>
      </c>
    </row>
    <row r="32" spans="2:36" x14ac:dyDescent="0.2">
      <c r="B32" s="647"/>
      <c r="C32" s="334">
        <v>6</v>
      </c>
      <c r="D32" s="324">
        <v>566</v>
      </c>
      <c r="E32" s="324">
        <v>8</v>
      </c>
      <c r="F32" s="324">
        <v>47</v>
      </c>
      <c r="G32" s="330">
        <v>40</v>
      </c>
      <c r="I32" s="647"/>
      <c r="J32" s="334">
        <v>6</v>
      </c>
      <c r="K32" s="324">
        <v>616</v>
      </c>
      <c r="L32" s="324">
        <v>9</v>
      </c>
      <c r="M32" s="324">
        <v>52</v>
      </c>
      <c r="N32" s="330">
        <v>40</v>
      </c>
      <c r="P32" s="647"/>
      <c r="Q32" s="334">
        <v>6</v>
      </c>
      <c r="R32" s="324">
        <v>566</v>
      </c>
      <c r="S32" s="324">
        <v>8</v>
      </c>
      <c r="T32" s="324">
        <v>47</v>
      </c>
      <c r="U32" s="330">
        <v>40</v>
      </c>
      <c r="W32" s="647"/>
      <c r="X32" s="334">
        <v>6</v>
      </c>
      <c r="Y32" s="324">
        <v>616</v>
      </c>
      <c r="Z32" s="324">
        <v>9</v>
      </c>
      <c r="AA32" s="324">
        <v>52</v>
      </c>
      <c r="AB32" s="330">
        <v>40</v>
      </c>
    </row>
    <row r="33" spans="1:43" ht="13.5" thickBot="1" x14ac:dyDescent="0.25">
      <c r="B33" s="648"/>
      <c r="C33" s="335">
        <v>7</v>
      </c>
      <c r="D33" s="331">
        <v>725</v>
      </c>
      <c r="E33" s="331">
        <v>10</v>
      </c>
      <c r="F33" s="331">
        <v>62</v>
      </c>
      <c r="G33" s="332">
        <v>52</v>
      </c>
      <c r="I33" s="648"/>
      <c r="J33" s="335">
        <v>7</v>
      </c>
      <c r="K33" s="331">
        <v>799</v>
      </c>
      <c r="L33" s="331">
        <v>12</v>
      </c>
      <c r="M33" s="331">
        <v>67</v>
      </c>
      <c r="N33" s="332">
        <v>52</v>
      </c>
      <c r="P33" s="648"/>
      <c r="Q33" s="335">
        <v>7</v>
      </c>
      <c r="R33" s="331">
        <v>725</v>
      </c>
      <c r="S33" s="331">
        <v>10</v>
      </c>
      <c r="T33" s="331">
        <v>62</v>
      </c>
      <c r="U33" s="332">
        <v>52</v>
      </c>
      <c r="W33" s="648"/>
      <c r="X33" s="335">
        <v>7</v>
      </c>
      <c r="Y33" s="331">
        <v>799</v>
      </c>
      <c r="Z33" s="331">
        <v>12</v>
      </c>
      <c r="AA33" s="331">
        <v>67</v>
      </c>
      <c r="AB33" s="332">
        <v>52</v>
      </c>
    </row>
    <row r="34" spans="1:43" x14ac:dyDescent="0.2">
      <c r="B34" s="646" t="s">
        <v>512</v>
      </c>
      <c r="C34" s="333">
        <v>0</v>
      </c>
      <c r="D34" s="328">
        <v>0</v>
      </c>
      <c r="E34" s="328">
        <v>0</v>
      </c>
      <c r="F34" s="328">
        <v>0</v>
      </c>
      <c r="G34" s="329">
        <v>0</v>
      </c>
      <c r="I34" s="646" t="s">
        <v>512</v>
      </c>
      <c r="J34" s="333">
        <v>0</v>
      </c>
      <c r="K34" s="328">
        <v>0</v>
      </c>
      <c r="L34" s="328">
        <v>0</v>
      </c>
      <c r="M34" s="328">
        <v>0</v>
      </c>
      <c r="N34" s="329">
        <v>0</v>
      </c>
      <c r="P34" s="646" t="s">
        <v>512</v>
      </c>
      <c r="Q34" s="333">
        <v>0</v>
      </c>
      <c r="R34" s="328">
        <v>0</v>
      </c>
      <c r="S34" s="328">
        <v>0</v>
      </c>
      <c r="T34" s="328">
        <v>0</v>
      </c>
      <c r="U34" s="329">
        <v>0</v>
      </c>
      <c r="W34" s="646" t="s">
        <v>512</v>
      </c>
      <c r="X34" s="333">
        <v>0</v>
      </c>
      <c r="Y34" s="328">
        <v>0</v>
      </c>
      <c r="Z34" s="328">
        <v>0</v>
      </c>
      <c r="AA34" s="328">
        <v>0</v>
      </c>
      <c r="AB34" s="329">
        <v>0</v>
      </c>
    </row>
    <row r="35" spans="1:43" x14ac:dyDescent="0.2">
      <c r="B35" s="647"/>
      <c r="C35" s="334">
        <v>1</v>
      </c>
      <c r="D35" s="324">
        <v>76</v>
      </c>
      <c r="E35" s="324">
        <v>1</v>
      </c>
      <c r="F35" s="324">
        <v>6</v>
      </c>
      <c r="G35" s="330">
        <v>6</v>
      </c>
      <c r="I35" s="647"/>
      <c r="J35" s="334">
        <v>1</v>
      </c>
      <c r="K35" s="324">
        <v>76</v>
      </c>
      <c r="L35" s="324">
        <v>1</v>
      </c>
      <c r="M35" s="324">
        <v>6</v>
      </c>
      <c r="N35" s="330">
        <v>6</v>
      </c>
      <c r="P35" s="647"/>
      <c r="Q35" s="334">
        <v>1</v>
      </c>
      <c r="R35" s="324">
        <v>60</v>
      </c>
      <c r="S35" s="324">
        <v>1</v>
      </c>
      <c r="T35" s="324">
        <v>6</v>
      </c>
      <c r="U35" s="330">
        <v>5</v>
      </c>
      <c r="W35" s="647"/>
      <c r="X35" s="334">
        <v>1</v>
      </c>
      <c r="Y35" s="324">
        <v>76</v>
      </c>
      <c r="Z35" s="324">
        <v>1</v>
      </c>
      <c r="AA35" s="324">
        <v>6</v>
      </c>
      <c r="AB35" s="330">
        <v>6</v>
      </c>
    </row>
    <row r="36" spans="1:43" x14ac:dyDescent="0.2">
      <c r="B36" s="647"/>
      <c r="C36" s="334">
        <v>2</v>
      </c>
      <c r="D36" s="324">
        <v>153</v>
      </c>
      <c r="E36" s="324">
        <v>2</v>
      </c>
      <c r="F36" s="324">
        <v>13</v>
      </c>
      <c r="G36" s="330">
        <v>12</v>
      </c>
      <c r="I36" s="647"/>
      <c r="J36" s="334">
        <v>2</v>
      </c>
      <c r="K36" s="324">
        <v>153</v>
      </c>
      <c r="L36" s="324">
        <v>2</v>
      </c>
      <c r="M36" s="324">
        <v>13</v>
      </c>
      <c r="N36" s="330">
        <v>12</v>
      </c>
      <c r="P36" s="647"/>
      <c r="Q36" s="334">
        <v>2</v>
      </c>
      <c r="R36" s="324">
        <v>120</v>
      </c>
      <c r="S36" s="324">
        <v>2</v>
      </c>
      <c r="T36" s="324">
        <v>11</v>
      </c>
      <c r="U36" s="330">
        <v>10</v>
      </c>
      <c r="W36" s="647"/>
      <c r="X36" s="334">
        <v>2</v>
      </c>
      <c r="Y36" s="324">
        <v>153</v>
      </c>
      <c r="Z36" s="324">
        <v>2</v>
      </c>
      <c r="AA36" s="324">
        <v>13</v>
      </c>
      <c r="AB36" s="330">
        <v>12</v>
      </c>
    </row>
    <row r="37" spans="1:43" x14ac:dyDescent="0.2">
      <c r="B37" s="647"/>
      <c r="C37" s="334">
        <v>3</v>
      </c>
      <c r="D37" s="324">
        <v>229</v>
      </c>
      <c r="E37" s="324">
        <v>3</v>
      </c>
      <c r="F37" s="324">
        <v>19</v>
      </c>
      <c r="G37" s="330">
        <v>18</v>
      </c>
      <c r="I37" s="647"/>
      <c r="J37" s="334">
        <v>3</v>
      </c>
      <c r="K37" s="324">
        <v>229</v>
      </c>
      <c r="L37" s="324">
        <v>3</v>
      </c>
      <c r="M37" s="324">
        <v>19</v>
      </c>
      <c r="N37" s="330">
        <v>18</v>
      </c>
      <c r="P37" s="647"/>
      <c r="Q37" s="334">
        <v>3</v>
      </c>
      <c r="R37" s="324">
        <v>167</v>
      </c>
      <c r="S37" s="324">
        <v>3</v>
      </c>
      <c r="T37" s="324">
        <v>15</v>
      </c>
      <c r="U37" s="330">
        <v>14</v>
      </c>
      <c r="W37" s="647"/>
      <c r="X37" s="334">
        <v>3</v>
      </c>
      <c r="Y37" s="324">
        <v>229</v>
      </c>
      <c r="Z37" s="324">
        <v>3</v>
      </c>
      <c r="AA37" s="324">
        <v>19</v>
      </c>
      <c r="AB37" s="330">
        <v>18</v>
      </c>
    </row>
    <row r="38" spans="1:43" x14ac:dyDescent="0.2">
      <c r="B38" s="647"/>
      <c r="C38" s="334">
        <v>4</v>
      </c>
      <c r="D38" s="324">
        <v>318</v>
      </c>
      <c r="E38" s="324">
        <v>4</v>
      </c>
      <c r="F38" s="324">
        <v>27</v>
      </c>
      <c r="G38" s="330">
        <v>25</v>
      </c>
      <c r="I38" s="647"/>
      <c r="J38" s="334">
        <v>4</v>
      </c>
      <c r="K38" s="324">
        <v>318</v>
      </c>
      <c r="L38" s="324">
        <v>4</v>
      </c>
      <c r="M38" s="324">
        <v>27</v>
      </c>
      <c r="N38" s="330">
        <v>25</v>
      </c>
      <c r="P38" s="647"/>
      <c r="Q38" s="334">
        <v>4</v>
      </c>
      <c r="R38" s="324">
        <v>239</v>
      </c>
      <c r="S38" s="324">
        <v>4</v>
      </c>
      <c r="T38" s="324">
        <v>22</v>
      </c>
      <c r="U38" s="330">
        <v>20</v>
      </c>
      <c r="W38" s="647"/>
      <c r="X38" s="334">
        <v>4</v>
      </c>
      <c r="Y38" s="324">
        <v>318</v>
      </c>
      <c r="Z38" s="324">
        <v>4</v>
      </c>
      <c r="AA38" s="324">
        <v>27</v>
      </c>
      <c r="AB38" s="330">
        <v>25</v>
      </c>
    </row>
    <row r="39" spans="1:43" x14ac:dyDescent="0.2">
      <c r="B39" s="647"/>
      <c r="C39" s="334">
        <v>5</v>
      </c>
      <c r="D39" s="324">
        <v>395</v>
      </c>
      <c r="E39" s="324">
        <v>5</v>
      </c>
      <c r="F39" s="324">
        <v>33</v>
      </c>
      <c r="G39" s="330">
        <v>31</v>
      </c>
      <c r="I39" s="647"/>
      <c r="J39" s="334">
        <v>5</v>
      </c>
      <c r="K39" s="324">
        <v>395</v>
      </c>
      <c r="L39" s="324">
        <v>5</v>
      </c>
      <c r="M39" s="324">
        <v>33</v>
      </c>
      <c r="N39" s="330">
        <v>31</v>
      </c>
      <c r="P39" s="647"/>
      <c r="Q39" s="334">
        <v>5</v>
      </c>
      <c r="R39" s="324">
        <v>299</v>
      </c>
      <c r="S39" s="324">
        <v>5</v>
      </c>
      <c r="T39" s="324">
        <v>28</v>
      </c>
      <c r="U39" s="330">
        <v>25</v>
      </c>
      <c r="W39" s="647"/>
      <c r="X39" s="334">
        <v>5</v>
      </c>
      <c r="Y39" s="324">
        <v>395</v>
      </c>
      <c r="Z39" s="324">
        <v>5</v>
      </c>
      <c r="AA39" s="324">
        <v>33</v>
      </c>
      <c r="AB39" s="330">
        <v>31</v>
      </c>
    </row>
    <row r="40" spans="1:43" x14ac:dyDescent="0.2">
      <c r="B40" s="647"/>
      <c r="C40" s="334">
        <v>6</v>
      </c>
      <c r="D40" s="324">
        <v>510</v>
      </c>
      <c r="E40" s="324">
        <v>7</v>
      </c>
      <c r="F40" s="324">
        <v>43</v>
      </c>
      <c r="G40" s="330">
        <v>40</v>
      </c>
      <c r="I40" s="647"/>
      <c r="J40" s="334">
        <v>6</v>
      </c>
      <c r="K40" s="324">
        <v>510</v>
      </c>
      <c r="L40" s="324">
        <v>7</v>
      </c>
      <c r="M40" s="324">
        <v>43</v>
      </c>
      <c r="N40" s="330">
        <v>40</v>
      </c>
      <c r="P40" s="647"/>
      <c r="Q40" s="334">
        <v>6</v>
      </c>
      <c r="R40" s="324">
        <v>383</v>
      </c>
      <c r="S40" s="324">
        <v>7</v>
      </c>
      <c r="T40" s="324">
        <v>35</v>
      </c>
      <c r="U40" s="330">
        <v>32</v>
      </c>
      <c r="W40" s="647"/>
      <c r="X40" s="334">
        <v>6</v>
      </c>
      <c r="Y40" s="324">
        <v>510</v>
      </c>
      <c r="Z40" s="324">
        <v>7</v>
      </c>
      <c r="AA40" s="324">
        <v>43</v>
      </c>
      <c r="AB40" s="330">
        <v>40</v>
      </c>
    </row>
    <row r="41" spans="1:43" ht="13.5" thickBot="1" x14ac:dyDescent="0.25">
      <c r="B41" s="648"/>
      <c r="C41" s="335">
        <v>7</v>
      </c>
      <c r="D41" s="331">
        <v>663</v>
      </c>
      <c r="E41" s="331">
        <v>8</v>
      </c>
      <c r="F41" s="331">
        <v>56</v>
      </c>
      <c r="G41" s="332">
        <v>52</v>
      </c>
      <c r="I41" s="648"/>
      <c r="J41" s="335">
        <v>7</v>
      </c>
      <c r="K41" s="331">
        <v>663</v>
      </c>
      <c r="L41" s="331">
        <v>8</v>
      </c>
      <c r="M41" s="331">
        <v>56</v>
      </c>
      <c r="N41" s="332">
        <v>52</v>
      </c>
      <c r="P41" s="648"/>
      <c r="Q41" s="335">
        <v>7</v>
      </c>
      <c r="R41" s="331">
        <v>502</v>
      </c>
      <c r="S41" s="331">
        <v>8</v>
      </c>
      <c r="T41" s="331">
        <v>46</v>
      </c>
      <c r="U41" s="332">
        <v>42</v>
      </c>
      <c r="W41" s="648"/>
      <c r="X41" s="335">
        <v>7</v>
      </c>
      <c r="Y41" s="331">
        <v>663</v>
      </c>
      <c r="Z41" s="331">
        <v>8</v>
      </c>
      <c r="AA41" s="331">
        <v>56</v>
      </c>
      <c r="AB41" s="332">
        <v>52</v>
      </c>
    </row>
    <row r="42" spans="1:43" ht="13.5" thickBot="1" x14ac:dyDescent="0.25">
      <c r="F42" s="22"/>
    </row>
    <row r="43" spans="1:43" ht="13.5" thickBot="1" x14ac:dyDescent="0.25">
      <c r="E43" s="640" t="s">
        <v>511</v>
      </c>
      <c r="F43" s="641"/>
      <c r="G43" s="641"/>
      <c r="H43" s="642"/>
      <c r="I43" s="341"/>
      <c r="J43" s="640" t="s">
        <v>511</v>
      </c>
      <c r="K43" s="641"/>
      <c r="L43" s="641"/>
      <c r="M43" s="642"/>
      <c r="N43" s="341"/>
      <c r="O43" s="640" t="s">
        <v>511</v>
      </c>
      <c r="P43" s="641"/>
      <c r="Q43" s="641"/>
      <c r="R43" s="642"/>
      <c r="S43" s="341"/>
      <c r="T43" s="640" t="s">
        <v>511</v>
      </c>
      <c r="U43" s="641"/>
      <c r="V43" s="641"/>
      <c r="W43" s="642"/>
      <c r="X43" s="341"/>
      <c r="Y43" s="640" t="s">
        <v>511</v>
      </c>
      <c r="Z43" s="641"/>
      <c r="AA43" s="641"/>
      <c r="AB43" s="642"/>
      <c r="AC43" s="341"/>
      <c r="AD43" s="640" t="s">
        <v>511</v>
      </c>
      <c r="AE43" s="641"/>
      <c r="AF43" s="641"/>
      <c r="AG43" s="642"/>
      <c r="AH43" s="341"/>
      <c r="AI43" s="640" t="s">
        <v>511</v>
      </c>
      <c r="AJ43" s="641"/>
      <c r="AK43" s="641"/>
      <c r="AL43" s="642"/>
      <c r="AM43" s="341"/>
      <c r="AN43" s="640" t="s">
        <v>511</v>
      </c>
      <c r="AO43" s="641"/>
      <c r="AP43" s="641"/>
      <c r="AQ43" s="642"/>
    </row>
    <row r="44" spans="1:43" ht="13.5" thickBot="1" x14ac:dyDescent="0.25">
      <c r="E44" s="649" t="s">
        <v>513</v>
      </c>
      <c r="F44" s="650"/>
      <c r="G44" s="650"/>
      <c r="H44" s="651"/>
      <c r="J44" s="649" t="s">
        <v>514</v>
      </c>
      <c r="K44" s="650"/>
      <c r="L44" s="650"/>
      <c r="M44" s="651"/>
      <c r="O44" s="649" t="s">
        <v>515</v>
      </c>
      <c r="P44" s="650"/>
      <c r="Q44" s="650"/>
      <c r="R44" s="651"/>
      <c r="T44" s="649" t="s">
        <v>516</v>
      </c>
      <c r="U44" s="650"/>
      <c r="V44" s="650"/>
      <c r="W44" s="651"/>
      <c r="Y44" s="649" t="s">
        <v>518</v>
      </c>
      <c r="Z44" s="650"/>
      <c r="AA44" s="650"/>
      <c r="AB44" s="651"/>
      <c r="AD44" s="649" t="s">
        <v>519</v>
      </c>
      <c r="AE44" s="650"/>
      <c r="AF44" s="650"/>
      <c r="AG44" s="651"/>
      <c r="AI44" s="649" t="s">
        <v>517</v>
      </c>
      <c r="AJ44" s="650"/>
      <c r="AK44" s="650"/>
      <c r="AL44" s="651"/>
      <c r="AN44" s="649" t="s">
        <v>520</v>
      </c>
      <c r="AO44" s="650"/>
      <c r="AP44" s="650"/>
      <c r="AQ44" s="651"/>
    </row>
    <row r="45" spans="1:43" ht="13.5" thickBot="1" x14ac:dyDescent="0.25">
      <c r="A45" s="640" t="s">
        <v>530</v>
      </c>
      <c r="B45" s="641"/>
      <c r="C45" s="642"/>
      <c r="D45" s="342"/>
      <c r="E45" s="325" t="s">
        <v>507</v>
      </c>
      <c r="F45" s="326" t="s">
        <v>508</v>
      </c>
      <c r="G45" s="326" t="s">
        <v>509</v>
      </c>
      <c r="H45" s="327" t="s">
        <v>510</v>
      </c>
      <c r="J45" s="325" t="s">
        <v>507</v>
      </c>
      <c r="K45" s="326" t="s">
        <v>508</v>
      </c>
      <c r="L45" s="326" t="s">
        <v>509</v>
      </c>
      <c r="M45" s="327" t="s">
        <v>510</v>
      </c>
      <c r="O45" s="325" t="s">
        <v>507</v>
      </c>
      <c r="P45" s="326" t="s">
        <v>508</v>
      </c>
      <c r="Q45" s="326" t="s">
        <v>509</v>
      </c>
      <c r="R45" s="327" t="s">
        <v>510</v>
      </c>
      <c r="T45" s="325" t="s">
        <v>507</v>
      </c>
      <c r="U45" s="326" t="s">
        <v>508</v>
      </c>
      <c r="V45" s="326" t="s">
        <v>509</v>
      </c>
      <c r="W45" s="327" t="s">
        <v>510</v>
      </c>
      <c r="Y45" s="325" t="s">
        <v>507</v>
      </c>
      <c r="Z45" s="326" t="s">
        <v>508</v>
      </c>
      <c r="AA45" s="326" t="s">
        <v>509</v>
      </c>
      <c r="AB45" s="327" t="s">
        <v>510</v>
      </c>
      <c r="AD45" s="325" t="s">
        <v>507</v>
      </c>
      <c r="AE45" s="326" t="s">
        <v>508</v>
      </c>
      <c r="AF45" s="326" t="s">
        <v>509</v>
      </c>
      <c r="AG45" s="327" t="s">
        <v>510</v>
      </c>
      <c r="AI45" s="325" t="s">
        <v>507</v>
      </c>
      <c r="AJ45" s="326" t="s">
        <v>508</v>
      </c>
      <c r="AK45" s="326" t="s">
        <v>509</v>
      </c>
      <c r="AL45" s="327" t="s">
        <v>510</v>
      </c>
      <c r="AN45" s="325" t="s">
        <v>507</v>
      </c>
      <c r="AO45" s="326" t="s">
        <v>508</v>
      </c>
      <c r="AP45" s="326" t="s">
        <v>509</v>
      </c>
      <c r="AQ45" s="327" t="s">
        <v>510</v>
      </c>
    </row>
    <row r="46" spans="1:43" x14ac:dyDescent="0.2">
      <c r="A46" s="361" t="str">
        <f>IF($O$72="N/A",$N$72,$O$72)</f>
        <v>N/A</v>
      </c>
      <c r="B46" s="343" t="s">
        <v>521</v>
      </c>
      <c r="C46" s="329">
        <f>IF(ISERROR(C_N1_MOD_LEV_CA S_take_off1),0,(C_N1_MOD_LEV_CA S_take_off1))</f>
        <v>0</v>
      </c>
      <c r="E46" s="338">
        <f>VLOOKUP(C46,$C$5:$G$12,2,FALSE)</f>
        <v>0</v>
      </c>
      <c r="F46" s="328">
        <f>VLOOKUP(C46,$C$5:$G$12,3,FALSE)</f>
        <v>0</v>
      </c>
      <c r="G46" s="328">
        <f>VLOOKUP(C46,$C$5:$G$12,4,FALSE)</f>
        <v>0</v>
      </c>
      <c r="H46" s="329">
        <f>VLOOKUP(C46,$C$5:$G$12,5,FALSE)</f>
        <v>0</v>
      </c>
      <c r="J46" s="338">
        <f t="shared" ref="J46:J54" si="0">VLOOKUP(C46,$J$5:$N$12,2,FALSE)</f>
        <v>0</v>
      </c>
      <c r="K46" s="328">
        <f t="shared" ref="K46:K54" si="1">VLOOKUP(C46,$J$5:$N$12,3,FALSE)</f>
        <v>0</v>
      </c>
      <c r="L46" s="328">
        <f t="shared" ref="L46:L54" si="2">VLOOKUP(C46,$J$5:$N$12,4,FALSE)</f>
        <v>0</v>
      </c>
      <c r="M46" s="329">
        <f t="shared" ref="M46:M54" si="3">VLOOKUP(C46,$J$5:$N$12,5,FALSE)</f>
        <v>0</v>
      </c>
      <c r="O46" s="338">
        <f t="shared" ref="O46:O54" si="4">VLOOKUP(C46,$Q$5:$U$12,2,FALSE)</f>
        <v>0</v>
      </c>
      <c r="P46" s="328">
        <f>VLOOKUP(C46,$Q$5:$U$12,3,FALSE)</f>
        <v>0</v>
      </c>
      <c r="Q46" s="328">
        <f t="shared" ref="Q46:Q54" si="5">VLOOKUP(C46,$Q$5:$U$12,4,FALSE)</f>
        <v>0</v>
      </c>
      <c r="R46" s="329">
        <f t="shared" ref="R46:R54" si="6">VLOOKUP(C46,$Q$5:$U$12,5,FALSE)</f>
        <v>0</v>
      </c>
      <c r="T46" s="338">
        <f>VLOOKUP($C$46,$X$5:$AB$12,2,FALSE)</f>
        <v>0</v>
      </c>
      <c r="U46" s="328">
        <f>VLOOKUP($C$46,$X$5:$AB$12,3,FALSE)</f>
        <v>0</v>
      </c>
      <c r="V46" s="328">
        <f>VLOOKUP($C$46,$X$5:$AB$12,4,FALSE)</f>
        <v>0</v>
      </c>
      <c r="W46" s="329">
        <f>VLOOKUP($C$46,$X$5:$AB$12,5,FALSE)</f>
        <v>0</v>
      </c>
      <c r="Y46" s="338">
        <f>VLOOKUP($C$46,$C$26:$G$33,2,FALSE)</f>
        <v>0</v>
      </c>
      <c r="Z46" s="328">
        <f>VLOOKUP($C$46,$C$26:$G$33,3,FALSE)</f>
        <v>0</v>
      </c>
      <c r="AA46" s="328">
        <f>VLOOKUP($C$46,$C$26:$G$33,4,FALSE)</f>
        <v>0</v>
      </c>
      <c r="AB46" s="329">
        <f>VLOOKUP($C$46,$C$26:$G$33,5,FALSE)</f>
        <v>0</v>
      </c>
      <c r="AD46" s="338">
        <f>VLOOKUP($C$46,$J$26:$N$33,2,FALSE)</f>
        <v>0</v>
      </c>
      <c r="AE46" s="328">
        <f>VLOOKUP($C$46,$J$26:$N$33,3,FALSE)</f>
        <v>0</v>
      </c>
      <c r="AF46" s="328">
        <f>VLOOKUP($C$46,$J$26:$N$33,4,FALSE)</f>
        <v>0</v>
      </c>
      <c r="AG46" s="329">
        <f>VLOOKUP($C$46,$J$26:$N$33,5,FALSE)</f>
        <v>0</v>
      </c>
      <c r="AI46" s="338">
        <f>VLOOKUP($C$46,$Q$26:$U$33,2,FALSE)</f>
        <v>0</v>
      </c>
      <c r="AJ46" s="328">
        <f>VLOOKUP($C$46,$Q$26:$U$33,3,FALSE)</f>
        <v>0</v>
      </c>
      <c r="AK46" s="328">
        <f>VLOOKUP($C$46,$Q$26:$U$33,4,FALSE)</f>
        <v>0</v>
      </c>
      <c r="AL46" s="329">
        <f>VLOOKUP($C$46,$Q$26:$U$33,5,FALSE)</f>
        <v>0</v>
      </c>
      <c r="AN46" s="338">
        <f>VLOOKUP($C$46,$X$26:$AB$33,2,FALSE)</f>
        <v>0</v>
      </c>
      <c r="AO46" s="328">
        <f>VLOOKUP($C$46,$X$26:$AB$33,3,FALSE)</f>
        <v>0</v>
      </c>
      <c r="AP46" s="328">
        <f>VLOOKUP($C$46,$X$26:$AB$33,4,FALSE)</f>
        <v>0</v>
      </c>
      <c r="AQ46" s="329">
        <f>VLOOKUP($C$46,$X$26:$AB$33,5,FALSE)</f>
        <v>0</v>
      </c>
    </row>
    <row r="47" spans="1:43" x14ac:dyDescent="0.2">
      <c r="A47" s="362" t="str">
        <f>IF($O$73="N/A",$N$73,$O$73)</f>
        <v>N/A</v>
      </c>
      <c r="B47" s="344" t="s">
        <v>522</v>
      </c>
      <c r="C47" s="330">
        <f>IF(ISERROR(C_N1_MOD_LEV_CA S_take_off2),0,(C_N1_MOD_LEV_CA S_take_off2))</f>
        <v>0</v>
      </c>
      <c r="E47" s="339">
        <f t="shared" ref="E47:E54" si="7">VLOOKUP(C47,$C$5:$G$12,2,FALSE)</f>
        <v>0</v>
      </c>
      <c r="F47" s="324">
        <f t="shared" ref="F47:F54" si="8">VLOOKUP(C47,$C$5:$G$12,3,FALSE)</f>
        <v>0</v>
      </c>
      <c r="G47" s="324">
        <f t="shared" ref="G47:G54" si="9">VLOOKUP(C47,$C$5:$G$12,4,FALSE)</f>
        <v>0</v>
      </c>
      <c r="H47" s="330">
        <f t="shared" ref="H47:H54" si="10">VLOOKUP(C47,$C$5:$G$12,5,FALSE)</f>
        <v>0</v>
      </c>
      <c r="J47" s="339">
        <f t="shared" si="0"/>
        <v>0</v>
      </c>
      <c r="K47" s="324">
        <f t="shared" si="1"/>
        <v>0</v>
      </c>
      <c r="L47" s="324">
        <f t="shared" si="2"/>
        <v>0</v>
      </c>
      <c r="M47" s="330">
        <f t="shared" si="3"/>
        <v>0</v>
      </c>
      <c r="O47" s="339">
        <f t="shared" si="4"/>
        <v>0</v>
      </c>
      <c r="P47" s="324">
        <f t="shared" ref="P47:P54" si="11">VLOOKUP(C47,$Q$5:$U$12,3,FALSE)</f>
        <v>0</v>
      </c>
      <c r="Q47" s="324">
        <f t="shared" si="5"/>
        <v>0</v>
      </c>
      <c r="R47" s="330">
        <f t="shared" si="6"/>
        <v>0</v>
      </c>
      <c r="T47" s="339">
        <f>VLOOKUP($C$47,$X$5:$AB$12,2,FALSE)</f>
        <v>0</v>
      </c>
      <c r="U47" s="324">
        <f>VLOOKUP($C$47,$X$5:$AB$12,3,FALSE)</f>
        <v>0</v>
      </c>
      <c r="V47" s="324">
        <f>VLOOKUP($C$47,$X$5:$AB$12,4,FALSE)</f>
        <v>0</v>
      </c>
      <c r="W47" s="330">
        <f>VLOOKUP($C$47,$X$5:$AB$12,5,FALSE)</f>
        <v>0</v>
      </c>
      <c r="Y47" s="339">
        <f>VLOOKUP($C$47,$C$26:$G$33,2,FALSE)</f>
        <v>0</v>
      </c>
      <c r="Z47" s="324">
        <f>VLOOKUP($C$47,$C$26:$G$33,3,FALSE)</f>
        <v>0</v>
      </c>
      <c r="AA47" s="324">
        <f>VLOOKUP($C$47,$C$26:$G$33,4,FALSE)</f>
        <v>0</v>
      </c>
      <c r="AB47" s="330">
        <f>VLOOKUP($C$47,$C$26:$G$33,5,FALSE)</f>
        <v>0</v>
      </c>
      <c r="AD47" s="339">
        <f>VLOOKUP($C$47,$J$26:$N$33,2,FALSE)</f>
        <v>0</v>
      </c>
      <c r="AE47" s="324">
        <f>VLOOKUP($C$47,$J$26:$N$33,3,FALSE)</f>
        <v>0</v>
      </c>
      <c r="AF47" s="324">
        <f>VLOOKUP($C$47,$J$26:$N$33,4,FALSE)</f>
        <v>0</v>
      </c>
      <c r="AG47" s="330">
        <f>VLOOKUP($C$47,$J$26:$N$33,5,FALSE)</f>
        <v>0</v>
      </c>
      <c r="AI47" s="339">
        <f>VLOOKUP($C$47,$Q$26:$U$33,2,FALSE)</f>
        <v>0</v>
      </c>
      <c r="AJ47" s="324">
        <f>VLOOKUP($C$47,$Q$26:$U$33,3,FALSE)</f>
        <v>0</v>
      </c>
      <c r="AK47" s="324">
        <f>VLOOKUP($C$47,$Q$26:$U$33,4,FALSE)</f>
        <v>0</v>
      </c>
      <c r="AL47" s="330">
        <f>VLOOKUP($C$47,$Q$26:$U$33,5,FALSE)</f>
        <v>0</v>
      </c>
      <c r="AN47" s="339">
        <f>VLOOKUP($C$47,$X$26:$AB$33,2,FALSE)</f>
        <v>0</v>
      </c>
      <c r="AO47" s="324">
        <f>VLOOKUP($C$47,$X$26:$AB$33,3,FALSE)</f>
        <v>0</v>
      </c>
      <c r="AP47" s="324">
        <f>VLOOKUP($C$47,$X$26:$AB$33,4,FALSE)</f>
        <v>0</v>
      </c>
      <c r="AQ47" s="330">
        <f>VLOOKUP($C$47,$X$26:$AB$33,5,FALSE)</f>
        <v>0</v>
      </c>
    </row>
    <row r="48" spans="1:43" x14ac:dyDescent="0.2">
      <c r="A48" s="362" t="str">
        <f>IF($O$74="N/A",$N$74,$O$74)</f>
        <v>N/A</v>
      </c>
      <c r="B48" s="344" t="s">
        <v>523</v>
      </c>
      <c r="C48" s="330">
        <f>IF(ISERROR(C_N1_MOD_LEV_CA S_take_off3),0,(C_N1_MOD_LEV_CA S_take_off3))</f>
        <v>0</v>
      </c>
      <c r="E48" s="339">
        <f t="shared" si="7"/>
        <v>0</v>
      </c>
      <c r="F48" s="324">
        <f t="shared" si="8"/>
        <v>0</v>
      </c>
      <c r="G48" s="324">
        <f t="shared" si="9"/>
        <v>0</v>
      </c>
      <c r="H48" s="330">
        <f t="shared" si="10"/>
        <v>0</v>
      </c>
      <c r="J48" s="339">
        <f t="shared" si="0"/>
        <v>0</v>
      </c>
      <c r="K48" s="324">
        <f t="shared" si="1"/>
        <v>0</v>
      </c>
      <c r="L48" s="324">
        <f t="shared" si="2"/>
        <v>0</v>
      </c>
      <c r="M48" s="330">
        <f t="shared" si="3"/>
        <v>0</v>
      </c>
      <c r="O48" s="339">
        <f t="shared" si="4"/>
        <v>0</v>
      </c>
      <c r="P48" s="324">
        <f t="shared" si="11"/>
        <v>0</v>
      </c>
      <c r="Q48" s="324">
        <f t="shared" si="5"/>
        <v>0</v>
      </c>
      <c r="R48" s="330">
        <f t="shared" si="6"/>
        <v>0</v>
      </c>
      <c r="T48" s="339">
        <f>VLOOKUP($C$48,$X$5:$AB$12,2,FALSE)</f>
        <v>0</v>
      </c>
      <c r="U48" s="324">
        <f>VLOOKUP($C$48,$X$5:$AB$12,3,FALSE)</f>
        <v>0</v>
      </c>
      <c r="V48" s="324">
        <f>VLOOKUP($C$48,$X$5:$AB$12,4,FALSE)</f>
        <v>0</v>
      </c>
      <c r="W48" s="330">
        <f>VLOOKUP($C$48,$X$5:$AB$12,5,FALSE)</f>
        <v>0</v>
      </c>
      <c r="Y48" s="339">
        <f>VLOOKUP($C$48,$C$26:$G$33,2,FALSE)</f>
        <v>0</v>
      </c>
      <c r="Z48" s="324">
        <f>VLOOKUP($C$48,$C$26:$G$33,3,FALSE)</f>
        <v>0</v>
      </c>
      <c r="AA48" s="324">
        <f>VLOOKUP($C$48,$C$26:$G$33,4,FALSE)</f>
        <v>0</v>
      </c>
      <c r="AB48" s="330">
        <f>VLOOKUP($C$48,$C$26:$G$33,5,FALSE)</f>
        <v>0</v>
      </c>
      <c r="AD48" s="339">
        <f>VLOOKUP($C$48,$J$26:$N$33,2,FALSE)</f>
        <v>0</v>
      </c>
      <c r="AE48" s="324">
        <f>VLOOKUP($C$48,$J$26:$N$33,3,FALSE)</f>
        <v>0</v>
      </c>
      <c r="AF48" s="324">
        <f>VLOOKUP($C$48,$J$26:$N$33,4,FALSE)</f>
        <v>0</v>
      </c>
      <c r="AG48" s="330">
        <f>VLOOKUP($C$48,$J$26:$N$33,5,FALSE)</f>
        <v>0</v>
      </c>
      <c r="AI48" s="339">
        <f>VLOOKUP($C$48,$Q$26:$U$33,2,FALSE)</f>
        <v>0</v>
      </c>
      <c r="AJ48" s="324">
        <f>VLOOKUP($C$48,$Q$26:$U$33,3,FALSE)</f>
        <v>0</v>
      </c>
      <c r="AK48" s="324">
        <f>VLOOKUP($C$48,$Q$26:$U$33,4,FALSE)</f>
        <v>0</v>
      </c>
      <c r="AL48" s="330">
        <f>VLOOKUP($C$48,$Q$26:$U$33,5,FALSE)</f>
        <v>0</v>
      </c>
      <c r="AN48" s="339">
        <f>VLOOKUP($C$48,$X$26:$AB$33,2,FALSE)</f>
        <v>0</v>
      </c>
      <c r="AO48" s="324">
        <f>VLOOKUP($C$48,$X$26:$AB$33,3,FALSE)</f>
        <v>0</v>
      </c>
      <c r="AP48" s="324">
        <f>VLOOKUP($C$48,$X$26:$AB$33,4,FALSE)</f>
        <v>0</v>
      </c>
      <c r="AQ48" s="330">
        <f>VLOOKUP($C$48,$X$26:$AB$33,5,FALSE)</f>
        <v>0</v>
      </c>
    </row>
    <row r="49" spans="1:43" x14ac:dyDescent="0.2">
      <c r="A49" s="362" t="str">
        <f>IF($O$75="N/A",$N$75,$O$75)</f>
        <v>N/A</v>
      </c>
      <c r="B49" s="344" t="s">
        <v>524</v>
      </c>
      <c r="C49" s="330">
        <f>IF(ISERROR(C_N1_MOD_LEV_CA S_take_off4),0,(C_N1_MOD_LEV_CA S_take_off4))</f>
        <v>0</v>
      </c>
      <c r="E49" s="339">
        <f t="shared" si="7"/>
        <v>0</v>
      </c>
      <c r="F49" s="324">
        <f t="shared" si="8"/>
        <v>0</v>
      </c>
      <c r="G49" s="324">
        <f t="shared" si="9"/>
        <v>0</v>
      </c>
      <c r="H49" s="330">
        <f t="shared" si="10"/>
        <v>0</v>
      </c>
      <c r="J49" s="339">
        <f t="shared" si="0"/>
        <v>0</v>
      </c>
      <c r="K49" s="324">
        <f t="shared" si="1"/>
        <v>0</v>
      </c>
      <c r="L49" s="324">
        <f t="shared" si="2"/>
        <v>0</v>
      </c>
      <c r="M49" s="330">
        <f t="shared" si="3"/>
        <v>0</v>
      </c>
      <c r="O49" s="339">
        <f t="shared" si="4"/>
        <v>0</v>
      </c>
      <c r="P49" s="324">
        <f t="shared" si="11"/>
        <v>0</v>
      </c>
      <c r="Q49" s="324">
        <f t="shared" si="5"/>
        <v>0</v>
      </c>
      <c r="R49" s="330">
        <f t="shared" si="6"/>
        <v>0</v>
      </c>
      <c r="T49" s="339">
        <f>VLOOKUP($C$49,$X$5:$AB$12,2,FALSE)</f>
        <v>0</v>
      </c>
      <c r="U49" s="324">
        <f>VLOOKUP($C$49,$X$5:$AB$12,3,FALSE)</f>
        <v>0</v>
      </c>
      <c r="V49" s="324">
        <f>VLOOKUP($C$49,$X$5:$AB$12,4,FALSE)</f>
        <v>0</v>
      </c>
      <c r="W49" s="330">
        <f>VLOOKUP($C$49,$X$5:$AB$12,5,FALSE)</f>
        <v>0</v>
      </c>
      <c r="Y49" s="339">
        <f>VLOOKUP($C$49,$C$26:$G$33,2,FALSE)</f>
        <v>0</v>
      </c>
      <c r="Z49" s="324">
        <f>VLOOKUP($C$49,$C$26:$G$33,3,FALSE)</f>
        <v>0</v>
      </c>
      <c r="AA49" s="324">
        <f>VLOOKUP($C$49,$C$26:$G$33,4,FALSE)</f>
        <v>0</v>
      </c>
      <c r="AB49" s="330">
        <f>VLOOKUP($C$49,$C$26:$G$33,5,FALSE)</f>
        <v>0</v>
      </c>
      <c r="AD49" s="339">
        <f>VLOOKUP($C$49,$J$26:$N$33,2,FALSE)</f>
        <v>0</v>
      </c>
      <c r="AE49" s="324">
        <f>VLOOKUP($C$49,$J$26:$N$33,3,FALSE)</f>
        <v>0</v>
      </c>
      <c r="AF49" s="324">
        <f>VLOOKUP($C$49,$J$26:$N$33,4,FALSE)</f>
        <v>0</v>
      </c>
      <c r="AG49" s="330">
        <f>VLOOKUP($C$49,$J$26:$N$33,5,FALSE)</f>
        <v>0</v>
      </c>
      <c r="AI49" s="339">
        <f>VLOOKUP($C$49,$Q$26:$U$33,2,FALSE)</f>
        <v>0</v>
      </c>
      <c r="AJ49" s="324">
        <f>VLOOKUP($C$49,$Q$26:$U$33,3,FALSE)</f>
        <v>0</v>
      </c>
      <c r="AK49" s="324">
        <f>VLOOKUP($C$49,$Q$26:$U$33,4,FALSE)</f>
        <v>0</v>
      </c>
      <c r="AL49" s="330">
        <f>VLOOKUP($C$49,$Q$26:$U$33,5,FALSE)</f>
        <v>0</v>
      </c>
      <c r="AN49" s="339">
        <f>VLOOKUP($C$49,$X$26:$AB$33,2,FALSE)</f>
        <v>0</v>
      </c>
      <c r="AO49" s="324">
        <f>VLOOKUP($C$49,$X$26:$AB$33,3,FALSE)</f>
        <v>0</v>
      </c>
      <c r="AP49" s="324">
        <f>VLOOKUP($C$49,$X$26:$AB$33,4,FALSE)</f>
        <v>0</v>
      </c>
      <c r="AQ49" s="330">
        <f>VLOOKUP($C$49,$X$26:$AB$33,5,FALSE)</f>
        <v>0</v>
      </c>
    </row>
    <row r="50" spans="1:43" x14ac:dyDescent="0.2">
      <c r="A50" s="362" t="str">
        <f>IF($O$76="N/A",$N$76,$O$76)</f>
        <v>N/A</v>
      </c>
      <c r="B50" s="344" t="s">
        <v>525</v>
      </c>
      <c r="C50" s="330">
        <f>IF(ISERROR(C_N1_MOD_LEV_CA S_take_off5),0,(C_N1_MOD_LEV_CA S_take_off5))</f>
        <v>0</v>
      </c>
      <c r="E50" s="339">
        <f t="shared" si="7"/>
        <v>0</v>
      </c>
      <c r="F50" s="324">
        <f t="shared" si="8"/>
        <v>0</v>
      </c>
      <c r="G50" s="324">
        <f t="shared" si="9"/>
        <v>0</v>
      </c>
      <c r="H50" s="330">
        <f t="shared" si="10"/>
        <v>0</v>
      </c>
      <c r="J50" s="339">
        <f t="shared" si="0"/>
        <v>0</v>
      </c>
      <c r="K50" s="324">
        <f t="shared" si="1"/>
        <v>0</v>
      </c>
      <c r="L50" s="324">
        <f t="shared" si="2"/>
        <v>0</v>
      </c>
      <c r="M50" s="330">
        <f t="shared" si="3"/>
        <v>0</v>
      </c>
      <c r="O50" s="339">
        <f t="shared" si="4"/>
        <v>0</v>
      </c>
      <c r="P50" s="324">
        <f t="shared" si="11"/>
        <v>0</v>
      </c>
      <c r="Q50" s="324">
        <f t="shared" si="5"/>
        <v>0</v>
      </c>
      <c r="R50" s="330">
        <f t="shared" si="6"/>
        <v>0</v>
      </c>
      <c r="T50" s="339">
        <f>VLOOKUP($C$50,$X$5:$AB$12,2,FALSE)</f>
        <v>0</v>
      </c>
      <c r="U50" s="324">
        <f>VLOOKUP($C$50,$X$5:$AB$12,3,FALSE)</f>
        <v>0</v>
      </c>
      <c r="V50" s="324">
        <f>VLOOKUP($C$50,$X$5:$AB$12,4,FALSE)</f>
        <v>0</v>
      </c>
      <c r="W50" s="330">
        <f>VLOOKUP($C$50,$X$5:$AB$12,5,FALSE)</f>
        <v>0</v>
      </c>
      <c r="Y50" s="339">
        <f>VLOOKUP($C$50,$C$26:$G$33,2,FALSE)</f>
        <v>0</v>
      </c>
      <c r="Z50" s="324">
        <f>VLOOKUP($C$50,$C$26:$G$33,3,FALSE)</f>
        <v>0</v>
      </c>
      <c r="AA50" s="324">
        <f>VLOOKUP($C$50,$C$26:$G$33,4,FALSE)</f>
        <v>0</v>
      </c>
      <c r="AB50" s="330">
        <f>VLOOKUP($C$50,$C$26:$G$33,5,FALSE)</f>
        <v>0</v>
      </c>
      <c r="AD50" s="339">
        <f>VLOOKUP($C$50,$J$26:$N$33,2,FALSE)</f>
        <v>0</v>
      </c>
      <c r="AE50" s="324">
        <f>VLOOKUP($C$50,$J$26:$N$33,3,FALSE)</f>
        <v>0</v>
      </c>
      <c r="AF50" s="324">
        <f>VLOOKUP($C$50,$J$26:$N$33,4,FALSE)</f>
        <v>0</v>
      </c>
      <c r="AG50" s="330">
        <f>VLOOKUP($C$50,$J$26:$N$33,5,FALSE)</f>
        <v>0</v>
      </c>
      <c r="AI50" s="339">
        <f>VLOOKUP($C$50,$Q$26:$U$33,2,FALSE)</f>
        <v>0</v>
      </c>
      <c r="AJ50" s="324">
        <f>VLOOKUP($C$50,$Q$26:$U$33,3,FALSE)</f>
        <v>0</v>
      </c>
      <c r="AK50" s="324">
        <f>VLOOKUP($C$50,$Q$26:$U$33,4,FALSE)</f>
        <v>0</v>
      </c>
      <c r="AL50" s="330">
        <f>VLOOKUP($C$50,$Q$26:$U$33,5,FALSE)</f>
        <v>0</v>
      </c>
      <c r="AN50" s="339">
        <f>VLOOKUP($C$50,$X$26:$AB$33,2,FALSE)</f>
        <v>0</v>
      </c>
      <c r="AO50" s="324">
        <f>VLOOKUP($C$50,$X$26:$AB$33,3,FALSE)</f>
        <v>0</v>
      </c>
      <c r="AP50" s="324">
        <f>VLOOKUP($C$50,$X$26:$AB$33,4,FALSE)</f>
        <v>0</v>
      </c>
      <c r="AQ50" s="330">
        <f>VLOOKUP($C$50,$X$26:$AB$33,5,FALSE)</f>
        <v>0</v>
      </c>
    </row>
    <row r="51" spans="1:43" x14ac:dyDescent="0.2">
      <c r="A51" s="362" t="str">
        <f>IF($O$77="N/A",$N$77,$O$77)</f>
        <v>N/A</v>
      </c>
      <c r="B51" s="344" t="s">
        <v>526</v>
      </c>
      <c r="C51" s="330">
        <f>IF(ISERROR(C_N1_MOD_LEV_CA S_take_off6),0,(C_N1_MOD_LEV_CA S_take_off6))</f>
        <v>0</v>
      </c>
      <c r="E51" s="339">
        <f t="shared" si="7"/>
        <v>0</v>
      </c>
      <c r="F51" s="324">
        <f t="shared" si="8"/>
        <v>0</v>
      </c>
      <c r="G51" s="324">
        <f t="shared" si="9"/>
        <v>0</v>
      </c>
      <c r="H51" s="330">
        <f t="shared" si="10"/>
        <v>0</v>
      </c>
      <c r="J51" s="339">
        <f t="shared" si="0"/>
        <v>0</v>
      </c>
      <c r="K51" s="324">
        <f t="shared" si="1"/>
        <v>0</v>
      </c>
      <c r="L51" s="324">
        <f t="shared" si="2"/>
        <v>0</v>
      </c>
      <c r="M51" s="330">
        <f t="shared" si="3"/>
        <v>0</v>
      </c>
      <c r="O51" s="339">
        <f t="shared" si="4"/>
        <v>0</v>
      </c>
      <c r="P51" s="324">
        <f t="shared" si="11"/>
        <v>0</v>
      </c>
      <c r="Q51" s="324">
        <f t="shared" si="5"/>
        <v>0</v>
      </c>
      <c r="R51" s="330">
        <f t="shared" si="6"/>
        <v>0</v>
      </c>
      <c r="T51" s="339">
        <f>VLOOKUP($C$51,$X$5:$AB$12,2,FALSE)</f>
        <v>0</v>
      </c>
      <c r="U51" s="324">
        <f>VLOOKUP($C$51,$X$5:$AB$12,3,FALSE)</f>
        <v>0</v>
      </c>
      <c r="V51" s="324">
        <f>VLOOKUP($C$51,$X$5:$AB$12,4,FALSE)</f>
        <v>0</v>
      </c>
      <c r="W51" s="330">
        <f>VLOOKUP($C$51,$X$5:$AB$12,5,FALSE)</f>
        <v>0</v>
      </c>
      <c r="Y51" s="339">
        <f>VLOOKUP($C$51,$C$26:$G$33,2,FALSE)</f>
        <v>0</v>
      </c>
      <c r="Z51" s="324">
        <f>VLOOKUP($C$51,$C$26:$G$33,3,FALSE)</f>
        <v>0</v>
      </c>
      <c r="AA51" s="324">
        <f>VLOOKUP($C$51,$C$26:$G$33,4,FALSE)</f>
        <v>0</v>
      </c>
      <c r="AB51" s="330">
        <f>VLOOKUP($C$51,$C$26:$G$33,5,FALSE)</f>
        <v>0</v>
      </c>
      <c r="AD51" s="339">
        <f>VLOOKUP($C$51,$J$26:$N$33,2,FALSE)</f>
        <v>0</v>
      </c>
      <c r="AE51" s="324">
        <f>VLOOKUP($C$51,$J$26:$N$33,3,FALSE)</f>
        <v>0</v>
      </c>
      <c r="AF51" s="324">
        <f>VLOOKUP($C$51,$J$26:$N$33,4,FALSE)</f>
        <v>0</v>
      </c>
      <c r="AG51" s="330">
        <f>VLOOKUP($C$51,$J$26:$N$33,5,FALSE)</f>
        <v>0</v>
      </c>
      <c r="AI51" s="339">
        <f>VLOOKUP($C$51,$Q$26:$U$33,2,FALSE)</f>
        <v>0</v>
      </c>
      <c r="AJ51" s="324">
        <f>VLOOKUP($C$51,$Q$26:$U$33,3,FALSE)</f>
        <v>0</v>
      </c>
      <c r="AK51" s="324">
        <f>VLOOKUP($C$51,$Q$26:$U$33,4,FALSE)</f>
        <v>0</v>
      </c>
      <c r="AL51" s="330">
        <f>VLOOKUP($C$51,$Q$26:$U$33,5,FALSE)</f>
        <v>0</v>
      </c>
      <c r="AN51" s="339">
        <f>VLOOKUP($C$51,$X$26:$AB$33,2,FALSE)</f>
        <v>0</v>
      </c>
      <c r="AO51" s="324">
        <f>VLOOKUP($C$51,$X$26:$AB$33,3,FALSE)</f>
        <v>0</v>
      </c>
      <c r="AP51" s="324">
        <f>VLOOKUP($C$51,$X$26:$AB$33,4,FALSE)</f>
        <v>0</v>
      </c>
      <c r="AQ51" s="330">
        <f>VLOOKUP($C$51,$X$26:$AB$33,5,FALSE)</f>
        <v>0</v>
      </c>
    </row>
    <row r="52" spans="1:43" x14ac:dyDescent="0.2">
      <c r="A52" s="362" t="str">
        <f>IF($O$78="N/A",$N$78,$O$78)</f>
        <v>N/A</v>
      </c>
      <c r="B52" s="344" t="s">
        <v>527</v>
      </c>
      <c r="C52" s="330">
        <f>IF(ISERROR(C_N1_MOD_LEV_CA S_take_off7),0,(C_N1_MOD_LEV_CA S_take_off7))</f>
        <v>0</v>
      </c>
      <c r="E52" s="339">
        <f t="shared" si="7"/>
        <v>0</v>
      </c>
      <c r="F52" s="324">
        <f t="shared" si="8"/>
        <v>0</v>
      </c>
      <c r="G52" s="324">
        <f t="shared" si="9"/>
        <v>0</v>
      </c>
      <c r="H52" s="330">
        <f t="shared" si="10"/>
        <v>0</v>
      </c>
      <c r="J52" s="339">
        <f t="shared" si="0"/>
        <v>0</v>
      </c>
      <c r="K52" s="324">
        <f t="shared" si="1"/>
        <v>0</v>
      </c>
      <c r="L52" s="324">
        <f t="shared" si="2"/>
        <v>0</v>
      </c>
      <c r="M52" s="330">
        <f t="shared" si="3"/>
        <v>0</v>
      </c>
      <c r="O52" s="339">
        <f t="shared" si="4"/>
        <v>0</v>
      </c>
      <c r="P52" s="324">
        <f t="shared" si="11"/>
        <v>0</v>
      </c>
      <c r="Q52" s="324">
        <f t="shared" si="5"/>
        <v>0</v>
      </c>
      <c r="R52" s="330">
        <f t="shared" si="6"/>
        <v>0</v>
      </c>
      <c r="T52" s="339">
        <f>VLOOKUP($C$52,$X$5:$AB$12,2,FALSE)</f>
        <v>0</v>
      </c>
      <c r="U52" s="324">
        <f>VLOOKUP($C$52,$X$5:$AB$12,3,FALSE)</f>
        <v>0</v>
      </c>
      <c r="V52" s="324">
        <f>VLOOKUP($C$52,$X$5:$AB$12,4,FALSE)</f>
        <v>0</v>
      </c>
      <c r="W52" s="330">
        <f>VLOOKUP($C$52,$X$5:$AB$12,5,FALSE)</f>
        <v>0</v>
      </c>
      <c r="Y52" s="339">
        <f>VLOOKUP($C$52,$C$26:$G$33,2,FALSE)</f>
        <v>0</v>
      </c>
      <c r="Z52" s="324">
        <f>VLOOKUP($C$52,$C$26:$G$33,3,FALSE)</f>
        <v>0</v>
      </c>
      <c r="AA52" s="324">
        <f>VLOOKUP($C$52,$C$26:$G$33,4,FALSE)</f>
        <v>0</v>
      </c>
      <c r="AB52" s="330">
        <f>VLOOKUP($C$52,$C$26:$G$33,5,FALSE)</f>
        <v>0</v>
      </c>
      <c r="AD52" s="339">
        <f>VLOOKUP($C$52,$J$26:$N$33,2,FALSE)</f>
        <v>0</v>
      </c>
      <c r="AE52" s="324">
        <f>VLOOKUP($C$52,$J$26:$N$33,3,FALSE)</f>
        <v>0</v>
      </c>
      <c r="AF52" s="324">
        <f>VLOOKUP($C$52,$J$26:$N$33,4,FALSE)</f>
        <v>0</v>
      </c>
      <c r="AG52" s="330">
        <f>VLOOKUP($C$52,$J$26:$N$33,5,FALSE)</f>
        <v>0</v>
      </c>
      <c r="AI52" s="339">
        <f>VLOOKUP($C$52,$Q$26:$U$33,2,FALSE)</f>
        <v>0</v>
      </c>
      <c r="AJ52" s="324">
        <f>VLOOKUP($C$52,$Q$26:$U$33,3,FALSE)</f>
        <v>0</v>
      </c>
      <c r="AK52" s="324">
        <f>VLOOKUP($C$52,$Q$26:$U$33,4,FALSE)</f>
        <v>0</v>
      </c>
      <c r="AL52" s="330">
        <f>VLOOKUP($C$52,$Q$26:$U$33,5,FALSE)</f>
        <v>0</v>
      </c>
      <c r="AN52" s="339">
        <f>VLOOKUP($C$52,$X$26:$AB$33,2,FALSE)</f>
        <v>0</v>
      </c>
      <c r="AO52" s="324">
        <f>VLOOKUP($C$52,$X$26:$AB$33,3,FALSE)</f>
        <v>0</v>
      </c>
      <c r="AP52" s="324">
        <f>VLOOKUP($C$52,$X$26:$AB$33,4,FALSE)</f>
        <v>0</v>
      </c>
      <c r="AQ52" s="330">
        <f>VLOOKUP($C$52,$X$26:$AB$33,5,FALSE)</f>
        <v>0</v>
      </c>
    </row>
    <row r="53" spans="1:43" x14ac:dyDescent="0.2">
      <c r="A53" s="362" t="str">
        <f>IF($O$79="N/A",$N$79,$O$79)</f>
        <v>N/A</v>
      </c>
      <c r="B53" s="344" t="s">
        <v>528</v>
      </c>
      <c r="C53" s="330">
        <f>IF(ISERROR(C_N1_MOD_LEV_CA S_take_off8),0,(C_N1_MOD_LEV_CA S_take_off8))</f>
        <v>0</v>
      </c>
      <c r="E53" s="339">
        <f t="shared" si="7"/>
        <v>0</v>
      </c>
      <c r="F53" s="324">
        <f t="shared" si="8"/>
        <v>0</v>
      </c>
      <c r="G53" s="324">
        <f t="shared" si="9"/>
        <v>0</v>
      </c>
      <c r="H53" s="330">
        <f t="shared" si="10"/>
        <v>0</v>
      </c>
      <c r="J53" s="339">
        <f t="shared" si="0"/>
        <v>0</v>
      </c>
      <c r="K53" s="324">
        <f t="shared" si="1"/>
        <v>0</v>
      </c>
      <c r="L53" s="324">
        <f t="shared" si="2"/>
        <v>0</v>
      </c>
      <c r="M53" s="330">
        <f t="shared" si="3"/>
        <v>0</v>
      </c>
      <c r="O53" s="339">
        <f t="shared" si="4"/>
        <v>0</v>
      </c>
      <c r="P53" s="324">
        <f t="shared" si="11"/>
        <v>0</v>
      </c>
      <c r="Q53" s="324">
        <f t="shared" si="5"/>
        <v>0</v>
      </c>
      <c r="R53" s="330">
        <f t="shared" si="6"/>
        <v>0</v>
      </c>
      <c r="T53" s="339">
        <f>VLOOKUP($C$53,$X$5:$AB$12,2,FALSE)</f>
        <v>0</v>
      </c>
      <c r="U53" s="324">
        <f>VLOOKUP($C$53,$X$5:$AB$12,3,FALSE)</f>
        <v>0</v>
      </c>
      <c r="V53" s="324">
        <f>VLOOKUP($C$53,$X$5:$AB$12,4,FALSE)</f>
        <v>0</v>
      </c>
      <c r="W53" s="330">
        <f>VLOOKUP($C$53,$X$5:$AB$12,5,FALSE)</f>
        <v>0</v>
      </c>
      <c r="Y53" s="339">
        <f>VLOOKUP($C$53,$C$26:$G$33,2,FALSE)</f>
        <v>0</v>
      </c>
      <c r="Z53" s="324">
        <f>VLOOKUP($C$53,$C$26:$G$33,3,FALSE)</f>
        <v>0</v>
      </c>
      <c r="AA53" s="324">
        <f>VLOOKUP($C$53,$C$26:$G$33,4,FALSE)</f>
        <v>0</v>
      </c>
      <c r="AB53" s="330">
        <f>VLOOKUP($C$53,$C$26:$G$33,5,FALSE)</f>
        <v>0</v>
      </c>
      <c r="AD53" s="339">
        <f>VLOOKUP($C$53,$J$26:$N$33,2,FALSE)</f>
        <v>0</v>
      </c>
      <c r="AE53" s="324">
        <f>VLOOKUP($C$53,$J$26:$N$33,3,FALSE)</f>
        <v>0</v>
      </c>
      <c r="AF53" s="324">
        <f>VLOOKUP($C$53,$J$26:$N$33,4,FALSE)</f>
        <v>0</v>
      </c>
      <c r="AG53" s="330">
        <f>VLOOKUP($C$53,$J$26:$N$33,5,FALSE)</f>
        <v>0</v>
      </c>
      <c r="AI53" s="339">
        <f>VLOOKUP($C$53,$Q$26:$U$33,2,FALSE)</f>
        <v>0</v>
      </c>
      <c r="AJ53" s="324">
        <f>VLOOKUP($C$53,$Q$26:$U$33,3,FALSE)</f>
        <v>0</v>
      </c>
      <c r="AK53" s="324">
        <f>VLOOKUP($C$53,$Q$26:$U$33,4,FALSE)</f>
        <v>0</v>
      </c>
      <c r="AL53" s="330">
        <f>VLOOKUP($C$53,$Q$26:$U$33,5,FALSE)</f>
        <v>0</v>
      </c>
      <c r="AN53" s="339">
        <f>VLOOKUP($C$53,$X$26:$AB$33,2,FALSE)</f>
        <v>0</v>
      </c>
      <c r="AO53" s="324">
        <f>VLOOKUP($C$53,$X$26:$AB$33,3,FALSE)</f>
        <v>0</v>
      </c>
      <c r="AP53" s="324">
        <f>VLOOKUP($C$53,$X$26:$AB$33,4,FALSE)</f>
        <v>0</v>
      </c>
      <c r="AQ53" s="330">
        <f>VLOOKUP($C$53,$X$26:$AB$33,5,FALSE)</f>
        <v>0</v>
      </c>
    </row>
    <row r="54" spans="1:43" ht="13.5" thickBot="1" x14ac:dyDescent="0.25">
      <c r="A54" s="363" t="str">
        <f>IF($O$80="N/A",$N$80,$O$80)</f>
        <v>N/A</v>
      </c>
      <c r="B54" s="345" t="s">
        <v>529</v>
      </c>
      <c r="C54" s="332">
        <f>IF(ISERROR(C_N1_MOD_LEV_CA S_take_off9),0,(C_N1_MOD_LEV_CA S_take_off9))</f>
        <v>0</v>
      </c>
      <c r="E54" s="340">
        <f t="shared" si="7"/>
        <v>0</v>
      </c>
      <c r="F54" s="331">
        <f t="shared" si="8"/>
        <v>0</v>
      </c>
      <c r="G54" s="331">
        <f t="shared" si="9"/>
        <v>0</v>
      </c>
      <c r="H54" s="332">
        <f t="shared" si="10"/>
        <v>0</v>
      </c>
      <c r="J54" s="340">
        <f t="shared" si="0"/>
        <v>0</v>
      </c>
      <c r="K54" s="331">
        <f t="shared" si="1"/>
        <v>0</v>
      </c>
      <c r="L54" s="331">
        <f t="shared" si="2"/>
        <v>0</v>
      </c>
      <c r="M54" s="332">
        <f t="shared" si="3"/>
        <v>0</v>
      </c>
      <c r="O54" s="340">
        <f t="shared" si="4"/>
        <v>0</v>
      </c>
      <c r="P54" s="331">
        <f t="shared" si="11"/>
        <v>0</v>
      </c>
      <c r="Q54" s="331">
        <f t="shared" si="5"/>
        <v>0</v>
      </c>
      <c r="R54" s="332">
        <f t="shared" si="6"/>
        <v>0</v>
      </c>
      <c r="T54" s="340">
        <f>VLOOKUP($C$54,$X$5:$AB$12,2,FALSE)</f>
        <v>0</v>
      </c>
      <c r="U54" s="331">
        <f>VLOOKUP($C$54,$X$5:$AB$12,3,FALSE)</f>
        <v>0</v>
      </c>
      <c r="V54" s="331">
        <f>VLOOKUP($C$54,$X$5:$AB$12,4,FALSE)</f>
        <v>0</v>
      </c>
      <c r="W54" s="332">
        <f>VLOOKUP($C$54,$X$5:$AB$12,5,FALSE)</f>
        <v>0</v>
      </c>
      <c r="Y54" s="340">
        <f>VLOOKUP($C$54,$C$26:$G$33,2,FALSE)</f>
        <v>0</v>
      </c>
      <c r="Z54" s="331">
        <f>VLOOKUP($C$54,$C$26:$G$33,3,FALSE)</f>
        <v>0</v>
      </c>
      <c r="AA54" s="331">
        <f>VLOOKUP($C$54,$C$26:$G$33,4,FALSE)</f>
        <v>0</v>
      </c>
      <c r="AB54" s="332">
        <f>VLOOKUP($C$54,$C$26:$G$33,5,FALSE)</f>
        <v>0</v>
      </c>
      <c r="AD54" s="340">
        <f>VLOOKUP($C$54,$J$26:$N$33,2,FALSE)</f>
        <v>0</v>
      </c>
      <c r="AE54" s="331">
        <f>VLOOKUP($C$54,$J$26:$N$33,3,FALSE)</f>
        <v>0</v>
      </c>
      <c r="AF54" s="331">
        <f>VLOOKUP($C$54,$J$26:$N$33,4,FALSE)</f>
        <v>0</v>
      </c>
      <c r="AG54" s="332">
        <f>VLOOKUP($C$54,$J$26:$N$33,5,FALSE)</f>
        <v>0</v>
      </c>
      <c r="AI54" s="340">
        <f>VLOOKUP($C$54,$Q$26:$U$33,2,FALSE)</f>
        <v>0</v>
      </c>
      <c r="AJ54" s="331">
        <f>VLOOKUP($C$54,$Q$26:$U$33,3,FALSE)</f>
        <v>0</v>
      </c>
      <c r="AK54" s="331">
        <f>VLOOKUP($C$54,$Q$26:$U$33,4,FALSE)</f>
        <v>0</v>
      </c>
      <c r="AL54" s="332">
        <f>VLOOKUP($C$54,$Q$26:$U$33,5,FALSE)</f>
        <v>0</v>
      </c>
      <c r="AN54" s="340">
        <f>VLOOKUP($C$54,$X$26:$AB$33,2,FALSE)</f>
        <v>0</v>
      </c>
      <c r="AO54" s="331">
        <f>VLOOKUP($C$54,$X$26:$AB$33,3,FALSE)</f>
        <v>0</v>
      </c>
      <c r="AP54" s="331">
        <f>VLOOKUP($C$54,$X$26:$AB$33,4,FALSE)</f>
        <v>0</v>
      </c>
      <c r="AQ54" s="332">
        <f>VLOOKUP($C$54,$X$26:$AB$33,5,FALSE)</f>
        <v>0</v>
      </c>
    </row>
    <row r="55" spans="1:43" ht="13.5" thickBot="1" x14ac:dyDescent="0.25"/>
    <row r="56" spans="1:43" ht="13.5" thickBot="1" x14ac:dyDescent="0.25">
      <c r="E56" s="640" t="s">
        <v>512</v>
      </c>
      <c r="F56" s="641"/>
      <c r="G56" s="641"/>
      <c r="H56" s="642"/>
      <c r="J56" s="640" t="s">
        <v>512</v>
      </c>
      <c r="K56" s="641"/>
      <c r="L56" s="641"/>
      <c r="M56" s="642"/>
      <c r="O56" s="640" t="s">
        <v>512</v>
      </c>
      <c r="P56" s="641"/>
      <c r="Q56" s="641"/>
      <c r="R56" s="642"/>
      <c r="T56" s="640" t="s">
        <v>512</v>
      </c>
      <c r="U56" s="641"/>
      <c r="V56" s="641"/>
      <c r="W56" s="642"/>
      <c r="Y56" s="640" t="s">
        <v>512</v>
      </c>
      <c r="Z56" s="641"/>
      <c r="AA56" s="641"/>
      <c r="AB56" s="642"/>
      <c r="AD56" s="640" t="s">
        <v>512</v>
      </c>
      <c r="AE56" s="641"/>
      <c r="AF56" s="641"/>
      <c r="AG56" s="642"/>
      <c r="AI56" s="640" t="s">
        <v>512</v>
      </c>
      <c r="AJ56" s="641"/>
      <c r="AK56" s="641"/>
      <c r="AL56" s="642"/>
      <c r="AN56" s="640" t="s">
        <v>512</v>
      </c>
      <c r="AO56" s="641"/>
      <c r="AP56" s="641"/>
      <c r="AQ56" s="642"/>
    </row>
    <row r="57" spans="1:43" ht="13.5" thickBot="1" x14ac:dyDescent="0.25">
      <c r="E57" s="649" t="s">
        <v>513</v>
      </c>
      <c r="F57" s="650"/>
      <c r="G57" s="650"/>
      <c r="H57" s="651"/>
      <c r="J57" s="649" t="s">
        <v>514</v>
      </c>
      <c r="K57" s="650"/>
      <c r="L57" s="650"/>
      <c r="M57" s="651"/>
      <c r="O57" s="649" t="s">
        <v>515</v>
      </c>
      <c r="P57" s="650"/>
      <c r="Q57" s="650"/>
      <c r="R57" s="651"/>
      <c r="T57" s="649" t="s">
        <v>516</v>
      </c>
      <c r="U57" s="650"/>
      <c r="V57" s="650"/>
      <c r="W57" s="651"/>
      <c r="Y57" s="649" t="s">
        <v>518</v>
      </c>
      <c r="Z57" s="650"/>
      <c r="AA57" s="650"/>
      <c r="AB57" s="651"/>
      <c r="AD57" s="649" t="s">
        <v>519</v>
      </c>
      <c r="AE57" s="650"/>
      <c r="AF57" s="650"/>
      <c r="AG57" s="651"/>
      <c r="AI57" s="649" t="s">
        <v>517</v>
      </c>
      <c r="AJ57" s="650"/>
      <c r="AK57" s="650"/>
      <c r="AL57" s="651"/>
      <c r="AN57" s="649" t="s">
        <v>520</v>
      </c>
      <c r="AO57" s="650"/>
      <c r="AP57" s="650"/>
      <c r="AQ57" s="651"/>
    </row>
    <row r="58" spans="1:43" ht="13.5" thickBot="1" x14ac:dyDescent="0.25">
      <c r="E58" s="325" t="s">
        <v>507</v>
      </c>
      <c r="F58" s="326" t="s">
        <v>508</v>
      </c>
      <c r="G58" s="326" t="s">
        <v>509</v>
      </c>
      <c r="H58" s="327" t="s">
        <v>510</v>
      </c>
      <c r="J58" s="325" t="s">
        <v>507</v>
      </c>
      <c r="K58" s="326" t="s">
        <v>508</v>
      </c>
      <c r="L58" s="326" t="s">
        <v>509</v>
      </c>
      <c r="M58" s="327" t="s">
        <v>510</v>
      </c>
      <c r="O58" s="325" t="s">
        <v>507</v>
      </c>
      <c r="P58" s="326" t="s">
        <v>508</v>
      </c>
      <c r="Q58" s="326" t="s">
        <v>509</v>
      </c>
      <c r="R58" s="327" t="s">
        <v>510</v>
      </c>
      <c r="T58" s="325" t="s">
        <v>507</v>
      </c>
      <c r="U58" s="326" t="s">
        <v>508</v>
      </c>
      <c r="V58" s="326" t="s">
        <v>509</v>
      </c>
      <c r="W58" s="327" t="s">
        <v>510</v>
      </c>
      <c r="Y58" s="325" t="s">
        <v>507</v>
      </c>
      <c r="Z58" s="326" t="s">
        <v>508</v>
      </c>
      <c r="AA58" s="326" t="s">
        <v>509</v>
      </c>
      <c r="AB58" s="327" t="s">
        <v>510</v>
      </c>
      <c r="AD58" s="325" t="s">
        <v>507</v>
      </c>
      <c r="AE58" s="326" t="s">
        <v>508</v>
      </c>
      <c r="AF58" s="326" t="s">
        <v>509</v>
      </c>
      <c r="AG58" s="327" t="s">
        <v>510</v>
      </c>
      <c r="AI58" s="325" t="s">
        <v>507</v>
      </c>
      <c r="AJ58" s="326" t="s">
        <v>508</v>
      </c>
      <c r="AK58" s="326" t="s">
        <v>509</v>
      </c>
      <c r="AL58" s="327" t="s">
        <v>510</v>
      </c>
      <c r="AN58" s="325" t="s">
        <v>507</v>
      </c>
      <c r="AO58" s="326" t="s">
        <v>508</v>
      </c>
      <c r="AP58" s="326" t="s">
        <v>509</v>
      </c>
      <c r="AQ58" s="327" t="s">
        <v>510</v>
      </c>
    </row>
    <row r="59" spans="1:43" x14ac:dyDescent="0.2">
      <c r="E59" s="338">
        <f>VLOOKUP(C46,$C$13:$G$20,2,FALSE)</f>
        <v>0</v>
      </c>
      <c r="F59" s="328">
        <f>VLOOKUP(C46,$C$13:$G$20,3,FALSE)</f>
        <v>0</v>
      </c>
      <c r="G59" s="328">
        <f>VLOOKUP(C46,$C$13:$G$20,4,FALSE)</f>
        <v>0</v>
      </c>
      <c r="H59" s="329">
        <f>VLOOKUP(C46,$C$13:$G$20,5,FALSE)</f>
        <v>0</v>
      </c>
      <c r="J59" s="338">
        <f>VLOOKUP(C46,$J$13:$N$20,2,FALSE)</f>
        <v>0</v>
      </c>
      <c r="K59" s="328">
        <f>VLOOKUP(C46,$J$13:$N$20,3,FALSE)</f>
        <v>0</v>
      </c>
      <c r="L59" s="328">
        <f>VLOOKUP(C46,$J$13:$N$20,4,FALSE)</f>
        <v>0</v>
      </c>
      <c r="M59" s="329">
        <f>VLOOKUP(C46,$J$13:$N$20,5,FALSE)</f>
        <v>0</v>
      </c>
      <c r="O59" s="338">
        <f>VLOOKUP(C46,$Q$13:$U$20,2,FALSE)</f>
        <v>0</v>
      </c>
      <c r="P59" s="328">
        <f t="shared" ref="P59:P67" si="12">VLOOKUP(C46,$Q$13:$U$20,3,FALSE)</f>
        <v>0</v>
      </c>
      <c r="Q59" s="328">
        <f t="shared" ref="Q59:Q67" si="13">VLOOKUP(C46,$Q$13:$U$20,4,FALSE)</f>
        <v>0</v>
      </c>
      <c r="R59" s="329">
        <f t="shared" ref="R59:R67" si="14">VLOOKUP(C46,$Q$13:$U$20,5,FALSE)</f>
        <v>0</v>
      </c>
      <c r="T59" s="338">
        <f>VLOOKUP($C$46,$X$13:$AB$20,2,FALSE)</f>
        <v>0</v>
      </c>
      <c r="U59" s="328">
        <f>VLOOKUP($C$46,$X$13:$AB$20,3,FALSE)</f>
        <v>0</v>
      </c>
      <c r="V59" s="328">
        <f>VLOOKUP($C$46,$X$13:$AB$20,4,FALSE)</f>
        <v>0</v>
      </c>
      <c r="W59" s="329">
        <f>VLOOKUP($C$46,$X$13:$AB$20,5,FALSE)</f>
        <v>0</v>
      </c>
      <c r="Y59" s="338">
        <f>VLOOKUP($C$46,$C$34:$G$41,2,FALSE)</f>
        <v>0</v>
      </c>
      <c r="Z59" s="328">
        <f>VLOOKUP($C$46,$C$34:$G$41,3,FALSE)</f>
        <v>0</v>
      </c>
      <c r="AA59" s="328">
        <f>VLOOKUP($C$46,$C$34:$G$41,4,FALSE)</f>
        <v>0</v>
      </c>
      <c r="AB59" s="329">
        <f>VLOOKUP($C$46,$C$34:$G$41,5,FALSE)</f>
        <v>0</v>
      </c>
      <c r="AD59" s="338">
        <f>VLOOKUP($C$46,$J$34:$N$41,2,FALSE)</f>
        <v>0</v>
      </c>
      <c r="AE59" s="328">
        <f>VLOOKUP($C$46,$J$34:$N$41,3,FALSE)</f>
        <v>0</v>
      </c>
      <c r="AF59" s="328">
        <f>VLOOKUP($C$46,$J$34:$N$41,4,FALSE)</f>
        <v>0</v>
      </c>
      <c r="AG59" s="329">
        <f>VLOOKUP($C$46,$J$34:$N$41,5,FALSE)</f>
        <v>0</v>
      </c>
      <c r="AI59" s="338">
        <f>VLOOKUP($C$46,$Q$34:$U$41,2,FALSE)</f>
        <v>0</v>
      </c>
      <c r="AJ59" s="328">
        <f>VLOOKUP($C$46,$Q$34:$U$41,3,FALSE)</f>
        <v>0</v>
      </c>
      <c r="AK59" s="328">
        <f>VLOOKUP($C$46,$Q$34:$U$41,4,FALSE)</f>
        <v>0</v>
      </c>
      <c r="AL59" s="329">
        <f>VLOOKUP($C$46,$Q$34:$U$41,5,FALSE)</f>
        <v>0</v>
      </c>
      <c r="AN59" s="338">
        <f>VLOOKUP($C$46,$X$34:$AB$41,2,FALSE)</f>
        <v>0</v>
      </c>
      <c r="AO59" s="328">
        <f>VLOOKUP($C$46,$X$34:$AB$41,3,FALSE)</f>
        <v>0</v>
      </c>
      <c r="AP59" s="328">
        <f>VLOOKUP($C$46,$X$34:$AB$41,4,FALSE)</f>
        <v>0</v>
      </c>
      <c r="AQ59" s="329">
        <f>VLOOKUP($C$46,$X$34:$AB$41,5,FALSE)</f>
        <v>0</v>
      </c>
    </row>
    <row r="60" spans="1:43" x14ac:dyDescent="0.2">
      <c r="E60" s="339">
        <f t="shared" ref="E60:E67" si="15">VLOOKUP(C47,$C$13:$G$20,2,FALSE)</f>
        <v>0</v>
      </c>
      <c r="F60" s="324">
        <f t="shared" ref="F60:F67" si="16">VLOOKUP(C47,$C$13:$G$20,3,FALSE)</f>
        <v>0</v>
      </c>
      <c r="G60" s="324">
        <f t="shared" ref="G60:G67" si="17">VLOOKUP(C47,$C$13:$G$20,4,FALSE)</f>
        <v>0</v>
      </c>
      <c r="H60" s="330">
        <f t="shared" ref="H60:H67" si="18">VLOOKUP(C47,$C$13:$G$20,5,FALSE)</f>
        <v>0</v>
      </c>
      <c r="J60" s="339">
        <f t="shared" ref="J60:J67" si="19">VLOOKUP(C47,$J$13:$N$20,2,FALSE)</f>
        <v>0</v>
      </c>
      <c r="K60" s="324">
        <f t="shared" ref="K60:K67" si="20">VLOOKUP(C47,$J$13:$N$20,3,FALSE)</f>
        <v>0</v>
      </c>
      <c r="L60" s="324">
        <f t="shared" ref="L60:L67" si="21">VLOOKUP(C47,$J$13:$N$20,4,FALSE)</f>
        <v>0</v>
      </c>
      <c r="M60" s="330">
        <f t="shared" ref="M60:M67" si="22">VLOOKUP(C47,$J$13:$N$20,5,FALSE)</f>
        <v>0</v>
      </c>
      <c r="O60" s="339">
        <f t="shared" ref="O60:O67" si="23">VLOOKUP(C47,$Q$13:$U$20,2,FALSE)</f>
        <v>0</v>
      </c>
      <c r="P60" s="324">
        <f t="shared" si="12"/>
        <v>0</v>
      </c>
      <c r="Q60" s="324">
        <f t="shared" si="13"/>
        <v>0</v>
      </c>
      <c r="R60" s="330">
        <f t="shared" si="14"/>
        <v>0</v>
      </c>
      <c r="T60" s="339">
        <f>VLOOKUP($C$47,$X$13:$AB$20,2,FALSE)</f>
        <v>0</v>
      </c>
      <c r="U60" s="324">
        <f>VLOOKUP($C$47,$X$13:$AB$20,3,FALSE)</f>
        <v>0</v>
      </c>
      <c r="V60" s="324">
        <f>VLOOKUP($C$47,$X$13:$AB$20,4,FALSE)</f>
        <v>0</v>
      </c>
      <c r="W60" s="330">
        <f>VLOOKUP($C$47,$X$13:$AB$20,5,FALSE)</f>
        <v>0</v>
      </c>
      <c r="Y60" s="339">
        <f>VLOOKUP($C$47,$C$34:$G$41,2,FALSE)</f>
        <v>0</v>
      </c>
      <c r="Z60" s="324">
        <f>VLOOKUP($C$47,$C$34:$G$41,3,FALSE)</f>
        <v>0</v>
      </c>
      <c r="AA60" s="324">
        <f>VLOOKUP($C$47,$C$34:$G$41,4,FALSE)</f>
        <v>0</v>
      </c>
      <c r="AB60" s="330">
        <f>VLOOKUP($C$47,$C$34:$G$41,5,FALSE)</f>
        <v>0</v>
      </c>
      <c r="AD60" s="339">
        <f>VLOOKUP($C$47,$J$34:$N$41,2,FALSE)</f>
        <v>0</v>
      </c>
      <c r="AE60" s="324">
        <f>VLOOKUP($C$47,$J$34:$N$41,3,FALSE)</f>
        <v>0</v>
      </c>
      <c r="AF60" s="324">
        <f>VLOOKUP($C$47,$J$34:$N$41,4,FALSE)</f>
        <v>0</v>
      </c>
      <c r="AG60" s="330">
        <f>VLOOKUP($C$47,$J$34:$N$41,5,FALSE)</f>
        <v>0</v>
      </c>
      <c r="AI60" s="339">
        <f>VLOOKUP($C$47,$Q$34:$U$41,2,FALSE)</f>
        <v>0</v>
      </c>
      <c r="AJ60" s="324">
        <f>VLOOKUP($C$47,$Q$34:$U$41,3,FALSE)</f>
        <v>0</v>
      </c>
      <c r="AK60" s="324">
        <f>VLOOKUP($C$47,$Q$34:$U$41,4,FALSE)</f>
        <v>0</v>
      </c>
      <c r="AL60" s="330">
        <f>VLOOKUP($C$47,$Q$34:$U$41,5,FALSE)</f>
        <v>0</v>
      </c>
      <c r="AN60" s="339">
        <f>VLOOKUP($C$47,$X$34:$AB$41,2,FALSE)</f>
        <v>0</v>
      </c>
      <c r="AO60" s="324">
        <f>VLOOKUP($C$47,$X$34:$AB$41,3,FALSE)</f>
        <v>0</v>
      </c>
      <c r="AP60" s="324">
        <f>VLOOKUP($C$47,$X$34:$AB$41,4,FALSE)</f>
        <v>0</v>
      </c>
      <c r="AQ60" s="330">
        <f>VLOOKUP($C$47,$X$34:$AB$41,5,FALSE)</f>
        <v>0</v>
      </c>
    </row>
    <row r="61" spans="1:43" x14ac:dyDescent="0.2">
      <c r="E61" s="339">
        <f t="shared" si="15"/>
        <v>0</v>
      </c>
      <c r="F61" s="324">
        <f t="shared" si="16"/>
        <v>0</v>
      </c>
      <c r="G61" s="324">
        <f t="shared" si="17"/>
        <v>0</v>
      </c>
      <c r="H61" s="330">
        <f t="shared" si="18"/>
        <v>0</v>
      </c>
      <c r="J61" s="339">
        <f t="shared" si="19"/>
        <v>0</v>
      </c>
      <c r="K61" s="324">
        <f t="shared" si="20"/>
        <v>0</v>
      </c>
      <c r="L61" s="324">
        <f t="shared" si="21"/>
        <v>0</v>
      </c>
      <c r="M61" s="330">
        <f t="shared" si="22"/>
        <v>0</v>
      </c>
      <c r="O61" s="339">
        <f t="shared" si="23"/>
        <v>0</v>
      </c>
      <c r="P61" s="324">
        <f t="shared" si="12"/>
        <v>0</v>
      </c>
      <c r="Q61" s="324">
        <f t="shared" si="13"/>
        <v>0</v>
      </c>
      <c r="R61" s="330">
        <f t="shared" si="14"/>
        <v>0</v>
      </c>
      <c r="T61" s="339">
        <f>VLOOKUP($C$48,$X$13:$AB$20,2,FALSE)</f>
        <v>0</v>
      </c>
      <c r="U61" s="324">
        <f>VLOOKUP($C$48,$X$13:$AB$20,3,FALSE)</f>
        <v>0</v>
      </c>
      <c r="V61" s="324">
        <f>VLOOKUP($C$48,$X$13:$AB$20,4,FALSE)</f>
        <v>0</v>
      </c>
      <c r="W61" s="330">
        <f>VLOOKUP($C$48,$X$13:$AB$20,5,FALSE)</f>
        <v>0</v>
      </c>
      <c r="Y61" s="339">
        <f>VLOOKUP($C$48,$C$34:$G$41,2,FALSE)</f>
        <v>0</v>
      </c>
      <c r="Z61" s="324">
        <f>VLOOKUP($C$48,$C$34:$G$41,3,FALSE)</f>
        <v>0</v>
      </c>
      <c r="AA61" s="324">
        <f>VLOOKUP($C$48,$C$34:$G$41,4,FALSE)</f>
        <v>0</v>
      </c>
      <c r="AB61" s="330">
        <f>VLOOKUP($C$48,$C$34:$G$41,5,FALSE)</f>
        <v>0</v>
      </c>
      <c r="AD61" s="339">
        <f>VLOOKUP($C$48,$J$34:$N$41,2,FALSE)</f>
        <v>0</v>
      </c>
      <c r="AE61" s="324">
        <f>VLOOKUP($C$48,$J$34:$N$41,3,FALSE)</f>
        <v>0</v>
      </c>
      <c r="AF61" s="324">
        <f>VLOOKUP($C$48,$J$34:$N$41,4,FALSE)</f>
        <v>0</v>
      </c>
      <c r="AG61" s="330">
        <f>VLOOKUP($C$48,$J$34:$N$41,5,FALSE)</f>
        <v>0</v>
      </c>
      <c r="AI61" s="339">
        <f>VLOOKUP($C$48,$Q$34:$U$41,2,FALSE)</f>
        <v>0</v>
      </c>
      <c r="AJ61" s="324">
        <f>VLOOKUP($C$48,$Q$34:$U$41,3,FALSE)</f>
        <v>0</v>
      </c>
      <c r="AK61" s="324">
        <f>VLOOKUP($C$48,$Q$34:$U$41,4,FALSE)</f>
        <v>0</v>
      </c>
      <c r="AL61" s="330">
        <f>VLOOKUP($C$48,$Q$34:$U$41,5,FALSE)</f>
        <v>0</v>
      </c>
      <c r="AN61" s="339">
        <f>VLOOKUP($C$48,$X$34:$AB$41,2,FALSE)</f>
        <v>0</v>
      </c>
      <c r="AO61" s="324">
        <f>VLOOKUP($C$48,$X$34:$AB$41,3,FALSE)</f>
        <v>0</v>
      </c>
      <c r="AP61" s="324">
        <f>VLOOKUP($C$48,$X$34:$AB$41,4,FALSE)</f>
        <v>0</v>
      </c>
      <c r="AQ61" s="330">
        <f>VLOOKUP($C$48,$X$34:$AB$41,5,FALSE)</f>
        <v>0</v>
      </c>
    </row>
    <row r="62" spans="1:43" x14ac:dyDescent="0.2">
      <c r="E62" s="339">
        <f t="shared" si="15"/>
        <v>0</v>
      </c>
      <c r="F62" s="324">
        <f t="shared" si="16"/>
        <v>0</v>
      </c>
      <c r="G62" s="324">
        <f t="shared" si="17"/>
        <v>0</v>
      </c>
      <c r="H62" s="330">
        <f t="shared" si="18"/>
        <v>0</v>
      </c>
      <c r="J62" s="339">
        <f t="shared" si="19"/>
        <v>0</v>
      </c>
      <c r="K62" s="324">
        <f t="shared" si="20"/>
        <v>0</v>
      </c>
      <c r="L62" s="324">
        <f t="shared" si="21"/>
        <v>0</v>
      </c>
      <c r="M62" s="330">
        <f t="shared" si="22"/>
        <v>0</v>
      </c>
      <c r="O62" s="339">
        <f t="shared" si="23"/>
        <v>0</v>
      </c>
      <c r="P62" s="324">
        <f t="shared" si="12"/>
        <v>0</v>
      </c>
      <c r="Q62" s="324">
        <f t="shared" si="13"/>
        <v>0</v>
      </c>
      <c r="R62" s="330">
        <f t="shared" si="14"/>
        <v>0</v>
      </c>
      <c r="T62" s="339">
        <f>VLOOKUP($C$49,$X$13:$AB$20,2,FALSE)</f>
        <v>0</v>
      </c>
      <c r="U62" s="324">
        <f>VLOOKUP($C$49,$X$13:$AB$20,3,FALSE)</f>
        <v>0</v>
      </c>
      <c r="V62" s="324">
        <f>VLOOKUP($C$49,$X$13:$AB$20,4,FALSE)</f>
        <v>0</v>
      </c>
      <c r="W62" s="330">
        <f>VLOOKUP($C$49,$X$13:$AB$20,5,FALSE)</f>
        <v>0</v>
      </c>
      <c r="Y62" s="339">
        <f>VLOOKUP($C$49,$C$34:$G$41,2,FALSE)</f>
        <v>0</v>
      </c>
      <c r="Z62" s="324">
        <f>VLOOKUP($C$49,$C$34:$G$41,3,FALSE)</f>
        <v>0</v>
      </c>
      <c r="AA62" s="324">
        <f>VLOOKUP($C$49,$C$34:$G$41,4,FALSE)</f>
        <v>0</v>
      </c>
      <c r="AB62" s="330">
        <f>VLOOKUP($C$49,$C$34:$G$41,5,FALSE)</f>
        <v>0</v>
      </c>
      <c r="AD62" s="339">
        <f>VLOOKUP($C$49,$J$34:$N$41,2,FALSE)</f>
        <v>0</v>
      </c>
      <c r="AE62" s="324">
        <f>VLOOKUP($C$49,$J$34:$N$41,3,FALSE)</f>
        <v>0</v>
      </c>
      <c r="AF62" s="324">
        <f>VLOOKUP($C$49,$J$34:$N$41,4,FALSE)</f>
        <v>0</v>
      </c>
      <c r="AG62" s="330">
        <f>VLOOKUP($C$49,$J$34:$N$41,5,FALSE)</f>
        <v>0</v>
      </c>
      <c r="AI62" s="339">
        <f>VLOOKUP($C$49,$Q$34:$U$41,2,FALSE)</f>
        <v>0</v>
      </c>
      <c r="AJ62" s="324">
        <f>VLOOKUP($C$49,$Q$34:$U$41,3,FALSE)</f>
        <v>0</v>
      </c>
      <c r="AK62" s="324">
        <f>VLOOKUP($C$49,$Q$34:$U$41,4,FALSE)</f>
        <v>0</v>
      </c>
      <c r="AL62" s="330">
        <f>VLOOKUP($C$49,$Q$34:$U$41,5,FALSE)</f>
        <v>0</v>
      </c>
      <c r="AN62" s="339">
        <f>VLOOKUP($C$49,$X$34:$AB$41,2,FALSE)</f>
        <v>0</v>
      </c>
      <c r="AO62" s="324">
        <f>VLOOKUP($C$49,$X$34:$AB$41,3,FALSE)</f>
        <v>0</v>
      </c>
      <c r="AP62" s="324">
        <f>VLOOKUP($C$49,$X$34:$AB$41,4,FALSE)</f>
        <v>0</v>
      </c>
      <c r="AQ62" s="330">
        <f>VLOOKUP($C$49,$X$34:$AB$41,5,FALSE)</f>
        <v>0</v>
      </c>
    </row>
    <row r="63" spans="1:43" x14ac:dyDescent="0.2">
      <c r="E63" s="339">
        <f t="shared" si="15"/>
        <v>0</v>
      </c>
      <c r="F63" s="324">
        <f t="shared" si="16"/>
        <v>0</v>
      </c>
      <c r="G63" s="324">
        <f t="shared" si="17"/>
        <v>0</v>
      </c>
      <c r="H63" s="330">
        <f t="shared" si="18"/>
        <v>0</v>
      </c>
      <c r="J63" s="339">
        <f t="shared" si="19"/>
        <v>0</v>
      </c>
      <c r="K63" s="324">
        <f t="shared" si="20"/>
        <v>0</v>
      </c>
      <c r="L63" s="324">
        <f t="shared" si="21"/>
        <v>0</v>
      </c>
      <c r="M63" s="330">
        <f t="shared" si="22"/>
        <v>0</v>
      </c>
      <c r="O63" s="339">
        <f t="shared" si="23"/>
        <v>0</v>
      </c>
      <c r="P63" s="324">
        <f t="shared" si="12"/>
        <v>0</v>
      </c>
      <c r="Q63" s="324">
        <f t="shared" si="13"/>
        <v>0</v>
      </c>
      <c r="R63" s="330">
        <f t="shared" si="14"/>
        <v>0</v>
      </c>
      <c r="T63" s="339">
        <f>VLOOKUP($C$50,$X$13:$AB$20,2,FALSE)</f>
        <v>0</v>
      </c>
      <c r="U63" s="324">
        <f>VLOOKUP($C$50,$X$13:$AB$20,3,FALSE)</f>
        <v>0</v>
      </c>
      <c r="V63" s="324">
        <f>VLOOKUP($C$50,$X$13:$AB$20,4,FALSE)</f>
        <v>0</v>
      </c>
      <c r="W63" s="330">
        <f>VLOOKUP($C$50,$X$13:$AB$20,5,FALSE)</f>
        <v>0</v>
      </c>
      <c r="Y63" s="339">
        <f>VLOOKUP($C$50,$C$34:$G$41,2,FALSE)</f>
        <v>0</v>
      </c>
      <c r="Z63" s="324">
        <f>VLOOKUP($C$50,$C$34:$G$41,3,FALSE)</f>
        <v>0</v>
      </c>
      <c r="AA63" s="324">
        <f>VLOOKUP($C$50,$C$34:$G$41,4,FALSE)</f>
        <v>0</v>
      </c>
      <c r="AB63" s="330">
        <f>VLOOKUP($C$50,$C$34:$G$41,5,FALSE)</f>
        <v>0</v>
      </c>
      <c r="AD63" s="339">
        <f>VLOOKUP($C$50,$J$34:$N$41,2,FALSE)</f>
        <v>0</v>
      </c>
      <c r="AE63" s="324">
        <f>VLOOKUP($C$50,$J$34:$N$41,3,FALSE)</f>
        <v>0</v>
      </c>
      <c r="AF63" s="324">
        <f>VLOOKUP($C$50,$J$34:$N$41,4,FALSE)</f>
        <v>0</v>
      </c>
      <c r="AG63" s="330">
        <f>VLOOKUP($C$50,$J$34:$N$41,5,FALSE)</f>
        <v>0</v>
      </c>
      <c r="AI63" s="339">
        <f>VLOOKUP($C$50,$Q$34:$U$41,2,FALSE)</f>
        <v>0</v>
      </c>
      <c r="AJ63" s="324">
        <f>VLOOKUP($C$50,$Q$34:$U$41,3,FALSE)</f>
        <v>0</v>
      </c>
      <c r="AK63" s="324">
        <f>VLOOKUP($C$50,$Q$34:$U$41,4,FALSE)</f>
        <v>0</v>
      </c>
      <c r="AL63" s="330">
        <f>VLOOKUP($C$50,$Q$34:$U$41,5,FALSE)</f>
        <v>0</v>
      </c>
      <c r="AN63" s="339">
        <f>VLOOKUP($C$50,$X$34:$AB$41,2,FALSE)</f>
        <v>0</v>
      </c>
      <c r="AO63" s="324">
        <f>VLOOKUP($C$50,$X$34:$AB$41,3,FALSE)</f>
        <v>0</v>
      </c>
      <c r="AP63" s="324">
        <f>VLOOKUP($C$50,$X$34:$AB$41,4,FALSE)</f>
        <v>0</v>
      </c>
      <c r="AQ63" s="330">
        <f>VLOOKUP($C$50,$X$34:$AB$41,5,FALSE)</f>
        <v>0</v>
      </c>
    </row>
    <row r="64" spans="1:43" x14ac:dyDescent="0.2">
      <c r="E64" s="339">
        <f t="shared" si="15"/>
        <v>0</v>
      </c>
      <c r="F64" s="324">
        <f t="shared" si="16"/>
        <v>0</v>
      </c>
      <c r="G64" s="324">
        <f t="shared" si="17"/>
        <v>0</v>
      </c>
      <c r="H64" s="330">
        <f t="shared" si="18"/>
        <v>0</v>
      </c>
      <c r="J64" s="339">
        <f t="shared" si="19"/>
        <v>0</v>
      </c>
      <c r="K64" s="324">
        <f t="shared" si="20"/>
        <v>0</v>
      </c>
      <c r="L64" s="324">
        <f t="shared" si="21"/>
        <v>0</v>
      </c>
      <c r="M64" s="330">
        <f t="shared" si="22"/>
        <v>0</v>
      </c>
      <c r="O64" s="339">
        <f t="shared" si="23"/>
        <v>0</v>
      </c>
      <c r="P64" s="324">
        <f t="shared" si="12"/>
        <v>0</v>
      </c>
      <c r="Q64" s="324">
        <f t="shared" si="13"/>
        <v>0</v>
      </c>
      <c r="R64" s="330">
        <f t="shared" si="14"/>
        <v>0</v>
      </c>
      <c r="T64" s="339">
        <f>VLOOKUP($C$51,$X$13:$AB$20,2,FALSE)</f>
        <v>0</v>
      </c>
      <c r="U64" s="324">
        <f>VLOOKUP($C$51,$X$13:$AB$20,3,FALSE)</f>
        <v>0</v>
      </c>
      <c r="V64" s="324">
        <f>VLOOKUP($C$51,$X$13:$AB$20,4,FALSE)</f>
        <v>0</v>
      </c>
      <c r="W64" s="330">
        <f>VLOOKUP($C$51,$X$13:$AB$20,5,FALSE)</f>
        <v>0</v>
      </c>
      <c r="Y64" s="339">
        <f>VLOOKUP($C$51,$C$34:$G$41,2,FALSE)</f>
        <v>0</v>
      </c>
      <c r="Z64" s="324">
        <f>VLOOKUP($C$51,$C$34:$G$41,3,FALSE)</f>
        <v>0</v>
      </c>
      <c r="AA64" s="324">
        <f>VLOOKUP($C$51,$C$34:$G$41,4,FALSE)</f>
        <v>0</v>
      </c>
      <c r="AB64" s="330">
        <f>VLOOKUP($C$51,$C$34:$G$41,5,FALSE)</f>
        <v>0</v>
      </c>
      <c r="AD64" s="339">
        <f>VLOOKUP($C$51,$J$34:$N$41,2,FALSE)</f>
        <v>0</v>
      </c>
      <c r="AE64" s="324">
        <f>VLOOKUP($C$51,$J$34:$N$41,3,FALSE)</f>
        <v>0</v>
      </c>
      <c r="AF64" s="324">
        <f>VLOOKUP($C$51,$J$34:$N$41,4,FALSE)</f>
        <v>0</v>
      </c>
      <c r="AG64" s="330">
        <f>VLOOKUP($C$51,$J$34:$N$41,5,FALSE)</f>
        <v>0</v>
      </c>
      <c r="AI64" s="339">
        <f>VLOOKUP($C$51,$Q$34:$U$41,2,FALSE)</f>
        <v>0</v>
      </c>
      <c r="AJ64" s="324">
        <f>VLOOKUP($C$51,$Q$34:$U$41,3,FALSE)</f>
        <v>0</v>
      </c>
      <c r="AK64" s="324">
        <f>VLOOKUP($C$51,$Q$34:$U$41,4,FALSE)</f>
        <v>0</v>
      </c>
      <c r="AL64" s="330">
        <f>VLOOKUP($C$51,$Q$34:$U$41,5,FALSE)</f>
        <v>0</v>
      </c>
      <c r="AN64" s="339">
        <f>VLOOKUP($C$51,$X$34:$AB$41,2,FALSE)</f>
        <v>0</v>
      </c>
      <c r="AO64" s="324">
        <f>VLOOKUP($C$51,$X$34:$AB$41,3,FALSE)</f>
        <v>0</v>
      </c>
      <c r="AP64" s="324">
        <f>VLOOKUP($C$51,$X$34:$AB$41,4,FALSE)</f>
        <v>0</v>
      </c>
      <c r="AQ64" s="330">
        <f>VLOOKUP($C$51,$X$34:$AB$41,5,FALSE)</f>
        <v>0</v>
      </c>
    </row>
    <row r="65" spans="2:43" x14ac:dyDescent="0.2">
      <c r="E65" s="339">
        <f t="shared" si="15"/>
        <v>0</v>
      </c>
      <c r="F65" s="324">
        <f t="shared" si="16"/>
        <v>0</v>
      </c>
      <c r="G65" s="324">
        <f t="shared" si="17"/>
        <v>0</v>
      </c>
      <c r="H65" s="330">
        <f t="shared" si="18"/>
        <v>0</v>
      </c>
      <c r="J65" s="339">
        <f t="shared" si="19"/>
        <v>0</v>
      </c>
      <c r="K65" s="324">
        <f t="shared" si="20"/>
        <v>0</v>
      </c>
      <c r="L65" s="324">
        <f t="shared" si="21"/>
        <v>0</v>
      </c>
      <c r="M65" s="330">
        <f t="shared" si="22"/>
        <v>0</v>
      </c>
      <c r="O65" s="339">
        <f t="shared" si="23"/>
        <v>0</v>
      </c>
      <c r="P65" s="324">
        <f t="shared" si="12"/>
        <v>0</v>
      </c>
      <c r="Q65" s="324">
        <f t="shared" si="13"/>
        <v>0</v>
      </c>
      <c r="R65" s="330">
        <f t="shared" si="14"/>
        <v>0</v>
      </c>
      <c r="T65" s="339">
        <f>VLOOKUP($C$52,$X$13:$AB$20,2,FALSE)</f>
        <v>0</v>
      </c>
      <c r="U65" s="324">
        <f>VLOOKUP($C$52,$X$13:$AB$20,3,FALSE)</f>
        <v>0</v>
      </c>
      <c r="V65" s="324">
        <f>VLOOKUP($C$52,$X$13:$AB$20,4,FALSE)</f>
        <v>0</v>
      </c>
      <c r="W65" s="330">
        <f>VLOOKUP($C$52,$X$13:$AB$20,5,FALSE)</f>
        <v>0</v>
      </c>
      <c r="Y65" s="339">
        <f>VLOOKUP($C$52,$C$34:$G$41,2,FALSE)</f>
        <v>0</v>
      </c>
      <c r="Z65" s="324">
        <f>VLOOKUP($C$52,$C$34:$G$41,3,FALSE)</f>
        <v>0</v>
      </c>
      <c r="AA65" s="324">
        <f>VLOOKUP($C$52,$C$34:$G$41,4,FALSE)</f>
        <v>0</v>
      </c>
      <c r="AB65" s="330">
        <f>VLOOKUP($C$52,$C$34:$G$41,5,FALSE)</f>
        <v>0</v>
      </c>
      <c r="AD65" s="339">
        <f>VLOOKUP($C$52,$J$34:$N$41,2,FALSE)</f>
        <v>0</v>
      </c>
      <c r="AE65" s="324">
        <f>VLOOKUP($C$52,$J$34:$N$41,3,FALSE)</f>
        <v>0</v>
      </c>
      <c r="AF65" s="324">
        <f>VLOOKUP($C$52,$J$34:$N$41,4,FALSE)</f>
        <v>0</v>
      </c>
      <c r="AG65" s="330">
        <f>VLOOKUP($C$52,$J$34:$N$41,5,FALSE)</f>
        <v>0</v>
      </c>
      <c r="AI65" s="339">
        <f>VLOOKUP($C$52,$Q$34:$U$41,2,FALSE)</f>
        <v>0</v>
      </c>
      <c r="AJ65" s="324">
        <f>VLOOKUP($C$52,$Q$34:$U$41,3,FALSE)</f>
        <v>0</v>
      </c>
      <c r="AK65" s="324">
        <f>VLOOKUP($C$52,$Q$34:$U$41,4,FALSE)</f>
        <v>0</v>
      </c>
      <c r="AL65" s="330">
        <f>VLOOKUP($C$52,$Q$34:$U$41,5,FALSE)</f>
        <v>0</v>
      </c>
      <c r="AN65" s="339">
        <f>VLOOKUP($C$52,$X$34:$AB$41,2,FALSE)</f>
        <v>0</v>
      </c>
      <c r="AO65" s="324">
        <f>VLOOKUP($C$52,$X$34:$AB$41,3,FALSE)</f>
        <v>0</v>
      </c>
      <c r="AP65" s="324">
        <f>VLOOKUP($C$52,$X$34:$AB$41,4,FALSE)</f>
        <v>0</v>
      </c>
      <c r="AQ65" s="330">
        <f>VLOOKUP($C$52,$X$34:$AB$41,5,FALSE)</f>
        <v>0</v>
      </c>
    </row>
    <row r="66" spans="2:43" x14ac:dyDescent="0.2">
      <c r="E66" s="339">
        <f t="shared" si="15"/>
        <v>0</v>
      </c>
      <c r="F66" s="324">
        <f t="shared" si="16"/>
        <v>0</v>
      </c>
      <c r="G66" s="324">
        <f t="shared" si="17"/>
        <v>0</v>
      </c>
      <c r="H66" s="330">
        <f t="shared" si="18"/>
        <v>0</v>
      </c>
      <c r="J66" s="339">
        <f t="shared" si="19"/>
        <v>0</v>
      </c>
      <c r="K66" s="324">
        <f t="shared" si="20"/>
        <v>0</v>
      </c>
      <c r="L66" s="324">
        <f t="shared" si="21"/>
        <v>0</v>
      </c>
      <c r="M66" s="330">
        <f t="shared" si="22"/>
        <v>0</v>
      </c>
      <c r="O66" s="339">
        <f t="shared" si="23"/>
        <v>0</v>
      </c>
      <c r="P66" s="324">
        <f t="shared" si="12"/>
        <v>0</v>
      </c>
      <c r="Q66" s="324">
        <f t="shared" si="13"/>
        <v>0</v>
      </c>
      <c r="R66" s="330">
        <f t="shared" si="14"/>
        <v>0</v>
      </c>
      <c r="T66" s="339">
        <f>VLOOKUP($C$53,$X$13:$AB$20,2,FALSE)</f>
        <v>0</v>
      </c>
      <c r="U66" s="324">
        <f>VLOOKUP($C$53,$X$13:$AB$20,3,FALSE)</f>
        <v>0</v>
      </c>
      <c r="V66" s="324">
        <f>VLOOKUP($C$53,$X$13:$AB$20,4,FALSE)</f>
        <v>0</v>
      </c>
      <c r="W66" s="330">
        <f>VLOOKUP($C$53,$X$13:$AB$20,5,FALSE)</f>
        <v>0</v>
      </c>
      <c r="Y66" s="339">
        <f>VLOOKUP($C$53,$C$34:$G$41,2,FALSE)</f>
        <v>0</v>
      </c>
      <c r="Z66" s="324">
        <f>VLOOKUP($C$53,$C$34:$G$41,3,FALSE)</f>
        <v>0</v>
      </c>
      <c r="AA66" s="324">
        <f>VLOOKUP($C$53,$C$34:$G$41,4,FALSE)</f>
        <v>0</v>
      </c>
      <c r="AB66" s="330">
        <f>VLOOKUP($C$53,$C$34:$G$41,5,FALSE)</f>
        <v>0</v>
      </c>
      <c r="AD66" s="339">
        <f>VLOOKUP($C$53,$J$34:$N$41,2,FALSE)</f>
        <v>0</v>
      </c>
      <c r="AE66" s="324">
        <f>VLOOKUP($C$53,$J$34:$N$41,3,FALSE)</f>
        <v>0</v>
      </c>
      <c r="AF66" s="324">
        <f>VLOOKUP($C$53,$J$34:$N$41,4,FALSE)</f>
        <v>0</v>
      </c>
      <c r="AG66" s="330">
        <f>VLOOKUP($C$53,$J$34:$N$41,5,FALSE)</f>
        <v>0</v>
      </c>
      <c r="AI66" s="339">
        <f>VLOOKUP($C$53,$Q$34:$U$41,2,FALSE)</f>
        <v>0</v>
      </c>
      <c r="AJ66" s="324">
        <f>VLOOKUP($C$53,$Q$34:$U$41,3,FALSE)</f>
        <v>0</v>
      </c>
      <c r="AK66" s="324">
        <f>VLOOKUP($C$53,$Q$34:$U$41,4,FALSE)</f>
        <v>0</v>
      </c>
      <c r="AL66" s="330">
        <f>VLOOKUP($C$53,$Q$34:$U$41,5,FALSE)</f>
        <v>0</v>
      </c>
      <c r="AN66" s="339">
        <f>VLOOKUP($C$53,$X$34:$AB$41,2,FALSE)</f>
        <v>0</v>
      </c>
      <c r="AO66" s="324">
        <f>VLOOKUP($C$53,$X$34:$AB$41,3,FALSE)</f>
        <v>0</v>
      </c>
      <c r="AP66" s="324">
        <f>VLOOKUP($C$53,$X$34:$AB$41,4,FALSE)</f>
        <v>0</v>
      </c>
      <c r="AQ66" s="330">
        <f>VLOOKUP($C$53,$X$34:$AB$41,5,FALSE)</f>
        <v>0</v>
      </c>
    </row>
    <row r="67" spans="2:43" ht="13.5" thickBot="1" x14ac:dyDescent="0.25">
      <c r="E67" s="340">
        <f t="shared" si="15"/>
        <v>0</v>
      </c>
      <c r="F67" s="331">
        <f t="shared" si="16"/>
        <v>0</v>
      </c>
      <c r="G67" s="331">
        <f t="shared" si="17"/>
        <v>0</v>
      </c>
      <c r="H67" s="332">
        <f t="shared" si="18"/>
        <v>0</v>
      </c>
      <c r="J67" s="340">
        <f t="shared" si="19"/>
        <v>0</v>
      </c>
      <c r="K67" s="331">
        <f t="shared" si="20"/>
        <v>0</v>
      </c>
      <c r="L67" s="331">
        <f t="shared" si="21"/>
        <v>0</v>
      </c>
      <c r="M67" s="332">
        <f t="shared" si="22"/>
        <v>0</v>
      </c>
      <c r="O67" s="340">
        <f t="shared" si="23"/>
        <v>0</v>
      </c>
      <c r="P67" s="331">
        <f t="shared" si="12"/>
        <v>0</v>
      </c>
      <c r="Q67" s="331">
        <f t="shared" si="13"/>
        <v>0</v>
      </c>
      <c r="R67" s="332">
        <f t="shared" si="14"/>
        <v>0</v>
      </c>
      <c r="T67" s="340">
        <f>VLOOKUP($C$54,$X$13:$AB$20,2,FALSE)</f>
        <v>0</v>
      </c>
      <c r="U67" s="331">
        <f>VLOOKUP($C$54,$X$13:$AB$20,3,FALSE)</f>
        <v>0</v>
      </c>
      <c r="V67" s="331">
        <f>VLOOKUP($C$54,$X$13:$AB$20,4,FALSE)</f>
        <v>0</v>
      </c>
      <c r="W67" s="332">
        <f>VLOOKUP($C$54,$X$13:$AB$20,5,FALSE)</f>
        <v>0</v>
      </c>
      <c r="Y67" s="340">
        <f>VLOOKUP($C$54,$C$34:$G$41,2,FALSE)</f>
        <v>0</v>
      </c>
      <c r="Z67" s="331">
        <f>VLOOKUP($C$54,$C$34:$G$41,3,FALSE)</f>
        <v>0</v>
      </c>
      <c r="AA67" s="331">
        <f>VLOOKUP($C$54,$C$34:$G$41,4,FALSE)</f>
        <v>0</v>
      </c>
      <c r="AB67" s="332">
        <f>VLOOKUP($C$54,$C$34:$G$41,5,FALSE)</f>
        <v>0</v>
      </c>
      <c r="AD67" s="340">
        <f>VLOOKUP($C$54,$J$34:$N$41,2,FALSE)</f>
        <v>0</v>
      </c>
      <c r="AE67" s="331">
        <f>VLOOKUP($C$54,$J$34:$N$41,3,FALSE)</f>
        <v>0</v>
      </c>
      <c r="AF67" s="331">
        <f>VLOOKUP($C$54,$J$34:$N$41,4,FALSE)</f>
        <v>0</v>
      </c>
      <c r="AG67" s="332">
        <f>VLOOKUP($C$54,$J$34:$N$41,5,FALSE)</f>
        <v>0</v>
      </c>
      <c r="AI67" s="340">
        <f>VLOOKUP($C$54,$Q$34:$U$41,2,FALSE)</f>
        <v>0</v>
      </c>
      <c r="AJ67" s="331">
        <f>VLOOKUP($C$54,$Q$34:$U$41,3,FALSE)</f>
        <v>0</v>
      </c>
      <c r="AK67" s="331">
        <f>VLOOKUP($C$54,$Q$34:$U$41,4,FALSE)</f>
        <v>0</v>
      </c>
      <c r="AL67" s="332">
        <f>VLOOKUP($C$54,$Q$34:$U$41,5,FALSE)</f>
        <v>0</v>
      </c>
      <c r="AN67" s="340">
        <f>VLOOKUP($C$54,$X$34:$AB$41,2,FALSE)</f>
        <v>0</v>
      </c>
      <c r="AO67" s="331">
        <f>VLOOKUP($C$54,$X$34:$AB$41,3,FALSE)</f>
        <v>0</v>
      </c>
      <c r="AP67" s="331">
        <f>VLOOKUP($C$54,$X$34:$AB$41,4,FALSE)</f>
        <v>0</v>
      </c>
      <c r="AQ67" s="332">
        <f>VLOOKUP($C$54,$X$34:$AB$41,5,FALSE)</f>
        <v>0</v>
      </c>
    </row>
    <row r="69" spans="2:43" ht="13.5" thickBot="1" x14ac:dyDescent="0.25"/>
    <row r="70" spans="2:43" ht="13.5" thickBot="1" x14ac:dyDescent="0.25">
      <c r="B70" s="652" t="s">
        <v>567</v>
      </c>
      <c r="C70" s="653"/>
      <c r="D70" s="653"/>
      <c r="E70" s="653"/>
      <c r="F70" s="653"/>
      <c r="G70" s="653"/>
      <c r="H70" s="653"/>
      <c r="I70" s="653"/>
      <c r="J70" s="653"/>
      <c r="K70" s="653"/>
      <c r="L70" s="654"/>
      <c r="N70" s="658" t="s">
        <v>566</v>
      </c>
      <c r="O70" s="659"/>
      <c r="P70" s="659"/>
      <c r="Q70" s="659"/>
      <c r="R70" s="660"/>
      <c r="S70" s="640" t="s">
        <v>511</v>
      </c>
      <c r="T70" s="641"/>
      <c r="U70" s="641"/>
      <c r="V70" s="642"/>
      <c r="W70" s="640" t="s">
        <v>512</v>
      </c>
      <c r="X70" s="641"/>
      <c r="Y70" s="641"/>
      <c r="Z70" s="642"/>
    </row>
    <row r="71" spans="2:43" ht="13.5" thickBot="1" x14ac:dyDescent="0.25">
      <c r="B71" s="655"/>
      <c r="C71" s="656"/>
      <c r="D71" s="656"/>
      <c r="E71" s="656"/>
      <c r="F71" s="656"/>
      <c r="G71" s="656"/>
      <c r="H71" s="656"/>
      <c r="I71" s="656"/>
      <c r="J71" s="656"/>
      <c r="K71" s="656"/>
      <c r="L71" s="657"/>
      <c r="N71" s="661"/>
      <c r="O71" s="662"/>
      <c r="P71" s="662"/>
      <c r="Q71" s="662"/>
      <c r="R71" s="663"/>
      <c r="S71" s="357" t="s">
        <v>507</v>
      </c>
      <c r="T71" s="336" t="s">
        <v>508</v>
      </c>
      <c r="U71" s="336" t="s">
        <v>509</v>
      </c>
      <c r="V71" s="337" t="s">
        <v>510</v>
      </c>
      <c r="W71" s="357" t="s">
        <v>507</v>
      </c>
      <c r="X71" s="336" t="s">
        <v>508</v>
      </c>
      <c r="Y71" s="336" t="s">
        <v>509</v>
      </c>
      <c r="Z71" s="337" t="s">
        <v>510</v>
      </c>
    </row>
    <row r="72" spans="2:43" ht="13.5" thickBot="1" x14ac:dyDescent="0.25">
      <c r="B72" s="348"/>
      <c r="C72" s="349"/>
      <c r="D72" s="346" t="s">
        <v>521</v>
      </c>
      <c r="E72" s="346" t="s">
        <v>522</v>
      </c>
      <c r="F72" s="346" t="s">
        <v>523</v>
      </c>
      <c r="G72" s="346" t="s">
        <v>524</v>
      </c>
      <c r="H72" s="346" t="s">
        <v>525</v>
      </c>
      <c r="I72" s="346" t="s">
        <v>526</v>
      </c>
      <c r="J72" s="346" t="s">
        <v>527</v>
      </c>
      <c r="K72" s="346" t="s">
        <v>528</v>
      </c>
      <c r="L72" s="347" t="s">
        <v>529</v>
      </c>
      <c r="N72" s="353" t="str">
        <f>IF(OR($R$72=80,$R$72=85),"B8",IF(OR($R$72=94,$R$72=95),"B9","N/A"))</f>
        <v>N/A</v>
      </c>
      <c r="O72" s="354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55" t="s">
        <v>501</v>
      </c>
      <c r="Q72" s="354" t="str">
        <f>IF($O$72="N/A",$N$72,$O$72)</f>
        <v>N/A</v>
      </c>
      <c r="R72" s="364" t="str">
        <f>IF(ISERROR(VLOOKUP(C_Engine_Rating S_take_off1, enum_list!$A$2:$F$102,1,1)),"N/A",VLOOKUP(C_Engine_Rating S_take_off1, enum_list!$A$2:$F$102,1,1))</f>
        <v>N/A</v>
      </c>
      <c r="S72" s="338">
        <f>IF($Q$72="B1",E46,IF($Q$72="B2",J46,IF($Q$72="B3",O46,IF($Q$72="B4",T46,IF($Q$72="B5",Y46,IF($Q$72="B6",AD46,IF($Q$72="B7",T46,IF($Q$72="B8",AI46,AN46))))))))</f>
        <v>0</v>
      </c>
      <c r="T72" s="328">
        <f>IF($Q$72="B1",F46,IF($Q$72="B2",K46,IF($Q$72="B3",P46,IF($Q$72="B4",U46,IF($Q$72="B5",Z46,IF($Q$72="B6",AE46,IF($Q$72="B7",U46,IF($Q$72="B8",AJ46,AO46))))))))</f>
        <v>0</v>
      </c>
      <c r="U72" s="328">
        <f>IF($Q$72="B1",G46,IF($Q$72="B2",L46,IF($Q$72="B3",Q46,IF($Q$72="B4",V46,IF($Q$72="B5",AA46,IF($Q$72="B6",AF46,IF($Q$72="B7",V46,IF($Q$72="B8",AK46,AP46))))))))</f>
        <v>0</v>
      </c>
      <c r="V72" s="367">
        <f>IF($Q$72="B1",H46,IF($Q$72="B2",M46,IF($Q$72="B3",R46,IF($Q$72="B4",W46,IF($Q$72="B5",AB46,IF($Q$72="B6",AG46,IF($Q$72="B7",W46,IF($Q$72="B8",AL46,AQ46))))))))</f>
        <v>0</v>
      </c>
      <c r="W72" s="338">
        <f>IF($Q$72="B1",E59,IF($Q$72="B2",J59,IF($Q$72="B3",O59,IF($Q$72="B4",T59,IF($Q$72="B5",Y59,IF($Q$72="B6",AD59,IF($Q$72="B7",T59,IF($Q$72="B8",AI59,AN59))))))))</f>
        <v>0</v>
      </c>
      <c r="X72" s="328">
        <f>IF($Q$72="B1",F59,IF($Q$72="B2",K59,IF($Q$72="B3",P59,IF($Q$72="B4",U59,IF($Q$72="B5",Z59,IF($Q$72="B6",AE59,IF($Q$72="B7",U59,IF($Q$72="B8",AJ59,AO59))))))))</f>
        <v>0</v>
      </c>
      <c r="Y72" s="328">
        <f>IF($Q$72="B1",G59,IF($Q$72="B2",L59,IF($Q$72="B3",Q59,IF($Q$72="B4",V59,IF($Q$72="B5",AA59,IF($Q$72="B6",AF59,IF($Q$72="B7",V59,IF($Q$72="B8",AK59,AP59))))))))</f>
        <v>0</v>
      </c>
      <c r="Z72" s="329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64" t="s">
        <v>511</v>
      </c>
      <c r="C73" s="378" t="s">
        <v>18</v>
      </c>
      <c r="D73" s="350" t="str">
        <f>IF(ISERROR((C_FNK S_take_off1)-$S$72),"N/A",((C_FNK S_take_off1)-$S$72))</f>
        <v>N/A</v>
      </c>
      <c r="E73" s="350" t="str">
        <f>IF(ISERROR((C_FNK S_take_off2)-$S$73),"N/A",((C_FNK S_take_off2)-$S$73))</f>
        <v>N/A</v>
      </c>
      <c r="F73" s="350" t="str">
        <f>IF(ISERROR((C_FNK S_take_off3)-$S$74),"N/A",((C_FNK S_take_off3)-$S$74))</f>
        <v>N/A</v>
      </c>
      <c r="G73" s="350" t="str">
        <f>IF(ISERROR((C_FNK S_take_off4)-$S$75),"N/A",((C_FNK S_take_off4)-$S$75))</f>
        <v>N/A</v>
      </c>
      <c r="H73" s="350" t="str">
        <f>IF(ISERROR((C_FNK S_take_off5)-$S$76),"N/A",((C_FNK S_take_off5)-$S$76))</f>
        <v>N/A</v>
      </c>
      <c r="I73" s="350" t="str">
        <f>IF(ISERROR((C_FNK S_take_off6)-$S$77),"N/A",((C_FNK S_take_off6)-$S$77))</f>
        <v>N/A</v>
      </c>
      <c r="J73" s="350" t="str">
        <f>IF(ISERROR((C_FNK S_take_off7)-$T$77),"N/A",((C_FNK S_take_off7)-$T$77))</f>
        <v>N/A</v>
      </c>
      <c r="K73" s="350" t="str">
        <f>IF(ISERROR((C_FNK S_take_off8)-$S$79),"N/A",((C_FNK S_take_off8)-$S$79))</f>
        <v>N/A</v>
      </c>
      <c r="L73" s="375" t="str">
        <f>IF(ISERROR((C_FNK S_take_off9)-$S$80),"N/A",((C_FNK S_take_off9)-$S$80))</f>
        <v>N/A</v>
      </c>
      <c r="N73" s="359" t="str">
        <f>IF(OR($R$73=80,$R$73=85),"B8",IF(OR($R$73=94,$R$73=95),"B9","N/A"))</f>
        <v>N/A</v>
      </c>
      <c r="O73" s="358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64" t="s">
        <v>493</v>
      </c>
      <c r="Q73" s="358" t="str">
        <f>IF($O$73="N/A",$N$73,$O$73)</f>
        <v>N/A</v>
      </c>
      <c r="R73" s="365" t="str">
        <f>IF(ISERROR(VLOOKUP(C_Engine_Rating S_take_off2, enum_list!$A$2:$F$102,1,1)),"N/A",VLOOKUP(C_Engine_Rating S_take_off2, enum_list!$A$2:$F$102,1,1))</f>
        <v>N/A</v>
      </c>
      <c r="S73" s="339">
        <f>IF($Q$73="B1",E47,IF($Q$73="B2",J47,IF($Q$73="B3",O47,IF($Q$73="B4",T47,IF($Q$73="B5",Y47,IF($Q$73="B6",AD47,IF($Q$73="B7",T47,IF($Q$73="B8",AI47,AN47))))))))</f>
        <v>0</v>
      </c>
      <c r="T73" s="324">
        <f>IF($Q$73="B1",F47,IF($Q$73="B2",K47,IF($Q$73="B3",P47,IF($Q$73="B4",U47,IF($Q$73="B5",Z47,IF($Q$73="B6",AE47,IF($Q$73="B7",U47,IF($Q$73="B8",AJ47,AO47))))))))</f>
        <v>0</v>
      </c>
      <c r="U73" s="324">
        <f>IF($Q$73="B1",G47,IF($Q$73="B2",L47,IF($Q$73="B3",Q47,IF($Q$73="B4",V47,IF($Q$73="B5",AA47,IF($Q$73="B6",AF47,IF($Q$73="B7",V47,IF($Q$73="B8",AK47,AP47))))))))</f>
        <v>0</v>
      </c>
      <c r="V73" s="368">
        <f>IF($Q$73="B1",H47,IF($Q$73="B2",M47,IF($Q$73="B3",R47,IF($Q$73="B4",W47,IF($Q$73="B5",AB47,IF($Q$73="B6",AG47,IF($Q$73="B7",W47,IF($Q$73="B8",AL47,AQ47))))))))</f>
        <v>0</v>
      </c>
      <c r="W73" s="339">
        <f>IF($Q$73="B1",E60,IF($Q$73="B2",J60,IF($Q$73="B3",O60,IF($Q$73="B4",T60,IF($Q$73="B5",Y60,IF($Q$73="B6",AD60,IF($Q$73="B7",T60,IF($Q$73="B8",AI60,AN60))))))))</f>
        <v>0</v>
      </c>
      <c r="X73" s="324">
        <f>IF($Q$73="B1",F60,IF($Q$73="B2",K60,IF($Q$73="B3",P60,IF($Q$73="B4",U60,IF($Q$73="B5",Z60,IF($Q$73="B6",AE60,IF($Q$73="B7",U60,IF($Q$73="B8",AJ60,AO60))))))))</f>
        <v>0</v>
      </c>
      <c r="Y73" s="324">
        <f>IF($Q$73="B1",G60,IF($Q$73="B2",L60,IF($Q$73="B3",Q60,IF($Q$73="B4",V60,IF($Q$73="B5",AA60,IF($Q$73="B6",AF60,IF($Q$73="B7",V60,IF($Q$73="B8",AK60,AP60))))))))</f>
        <v>0</v>
      </c>
      <c r="Z73" s="330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65"/>
      <c r="C74" s="379" t="s">
        <v>142</v>
      </c>
      <c r="D74" s="350" t="str">
        <f>IF(ISERROR((C_EGTK S_take_off1)-$T$72),"N/A",((C_EGTK S_take_off1)-$T$72))</f>
        <v>N/A</v>
      </c>
      <c r="E74" s="350" t="str">
        <f>IF(ISERROR((C_EGTK S_take_off2)-$T$73),"N/A",((C_EGTK S_take_off2)-$T$73))</f>
        <v>N/A</v>
      </c>
      <c r="F74" s="350" t="str">
        <f>IF(ISERROR((C_EGTK S_take_off3)-$T$74),"N/A",((C_EGTK S_take_off3)-$T$74))</f>
        <v>N/A</v>
      </c>
      <c r="G74" s="350" t="str">
        <f>IF(ISERROR((C_EGTK S_take_off4)-$T$75),"N/A",((C_EGTK S_take_off4)-$T$75))</f>
        <v>N/A</v>
      </c>
      <c r="H74" s="350" t="str">
        <f>IF(ISERROR((C_EGTK S_take_off5)-$T$76),"N/A",((C_EGTK S_take_off5)-$T$76))</f>
        <v>N/A</v>
      </c>
      <c r="I74" s="350" t="str">
        <f>IF(ISERROR((C_EGTK S_take_off6)-$T$77),"N/A",((C_EGTK S_take_off6)-$T$77))</f>
        <v>N/A</v>
      </c>
      <c r="J74" s="350" t="str">
        <f>IF(ISERROR((C_EGTK S_take_off7)-$T$78),"N/A",((C_EGTK S_take_off7)-$T$78))</f>
        <v>N/A</v>
      </c>
      <c r="K74" s="350" t="str">
        <f>IF(ISERROR((C_EGTK S_take_off8)-$T$79),"N/A",((C_EGTK S_take_off8)-$T$79))</f>
        <v>N/A</v>
      </c>
      <c r="L74" s="375" t="str">
        <f>IF(ISERROR((C_EGTK S_take_off9)-$S$80),"N/A",((C_EGTK S_take_off9)-$S$80))</f>
        <v>N/A</v>
      </c>
      <c r="N74" s="359" t="str">
        <f>IF(OR($R$74=80,$R$74=85),"B8",IF(OR($R$74=94,$R$74=95),"B9","N/A"))</f>
        <v>N/A</v>
      </c>
      <c r="O74" s="358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64" t="s">
        <v>494</v>
      </c>
      <c r="Q74" s="358" t="str">
        <f>IF($O$74="N/A",$N$74,$O$74)</f>
        <v>N/A</v>
      </c>
      <c r="R74" s="365" t="str">
        <f>IF(ISERROR(VLOOKUP(C_Engine_Rating S_take_off3, enum_list!$A$2:$F$102,1,1)),"N/A",VLOOKUP(C_Engine_Rating S_take_off3, enum_list!$A$2:$F$102,1,1))</f>
        <v>N/A</v>
      </c>
      <c r="S74" s="339">
        <f>IF($Q$74="B1",E48,IF($Q$74="B2",J48,IF($Q$74="B3",O48,IF($Q$74="B4",T48,IF($Q$74="B5",Y48,IF($Q$74="B6",AD48,IF($Q$74="B7",T48,IF($Q$74="B8",AI48,AN48))))))))</f>
        <v>0</v>
      </c>
      <c r="T74" s="324">
        <f>IF($Q$74="B1",F48,IF($Q$74="B2",K48,IF($Q$74="B3",P48,IF($Q$74="B4",U48,IF($Q$74="B5",Z48,IF($Q$74="B6",AE48,IF($Q$74="B7",U48,IF($Q$74="B8",AJ48,AO48))))))))</f>
        <v>0</v>
      </c>
      <c r="U74" s="324">
        <f>IF($Q$74="B1",G48,IF($Q$74="B2",L48,IF($Q$74="B3",Q48,IF($Q$74="B4",V48,IF($Q$74="B5",AA48,IF($Q$74="B6",AF48,IF($Q$74="B7",V48,IF($Q$74="B8",AK48,AP48))))))))</f>
        <v>0</v>
      </c>
      <c r="V74" s="368">
        <f>IF($Q$74="B1",H48,IF($Q$74="B2",M48,IF($Q$74="B3",R48,IF($Q$74="B4",W48,IF($Q$74="B5",AB48,IF($Q$74="B6",AG48,IF($Q$74="B7",W48,IF($Q$74="B8",AL48,AQ48))))))))</f>
        <v>0</v>
      </c>
      <c r="W74" s="339">
        <f>IF($Q$74="B1",E61,IF($Q$74="B2",J61,IF($Q$74="B3",O61,IF($Q$74="B4",T61,IF($Q$74="B5",Y61,IF($Q$74="B6",AD61,IF($Q$74="B7",T61,IF($Q$74="B8",AI61,AN61))))))))</f>
        <v>0</v>
      </c>
      <c r="X74" s="324">
        <f>IF($Q$74="B1",F61,IF($Q$74="B2",K61,IF($Q$74="B3",P61,IF($Q$74="B4",U61,IF($Q$74="B5",Z61,IF($Q$74="B6",AE61,IF($Q$74="B7",U61,IF($Q$74="B8",AJ61,AO61))))))))</f>
        <v>0</v>
      </c>
      <c r="Y74" s="324">
        <f>IF($Q$74="B1",G61,IF($Q$74="B2",L61,IF($Q$74="B3",Q61,IF($Q$74="B4",V61,IF($Q$74="B5",AA61,IF($Q$74="B6",AF61,IF($Q$74="B7",V61,IF($Q$74="B8",AK61,AP61))))))))</f>
        <v>0</v>
      </c>
      <c r="Z74" s="330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65"/>
      <c r="C75" s="379" t="s">
        <v>36</v>
      </c>
      <c r="D75" s="350" t="str">
        <f>IF(ISERROR((C_N2K S_take_off1)-$U$72),"N/A",((C_N2K S_take_off1)-$U$72))</f>
        <v>N/A</v>
      </c>
      <c r="E75" s="350" t="str">
        <f>IF(ISERROR((C_N2K S_take_off2)-$U$73),"N/A",((C_N2K S_take_off2)-$U$73))</f>
        <v>N/A</v>
      </c>
      <c r="F75" s="350" t="str">
        <f>IF(ISERROR((C_N2K S_take_off3)-$U$74),"N/A",((C_N2K S_take_off3)-$U$74))</f>
        <v>N/A</v>
      </c>
      <c r="G75" s="350" t="str">
        <f>IF(ISERROR((C_N2K S_take_off4)-$U$75),"N/A",((C_N2K S_take_off4)-$U$75))</f>
        <v>N/A</v>
      </c>
      <c r="H75" s="350" t="str">
        <f>IF(ISERROR((C_N2K S_take_off5)-$U$76),"N/A",((C_N2K S_take_off5)-$U$76))</f>
        <v>N/A</v>
      </c>
      <c r="I75" s="350" t="str">
        <f>IF(ISERROR((C_N2K S_take_off6)-$U$77),"N/A",((C_N2K S_take_off6)-$U$77))</f>
        <v>N/A</v>
      </c>
      <c r="J75" s="350" t="str">
        <f>IF(ISERROR((C_N2K S_take_off7)-$U$78),"N/A",((C_N2K S_take_off7)-$U$78))</f>
        <v>N/A</v>
      </c>
      <c r="K75" s="350" t="str">
        <f>IF(ISERROR((C_N2K S_take_off8)-$U$79),"N/A",((C_N2K S_take_off8)-$U$79))</f>
        <v>N/A</v>
      </c>
      <c r="L75" s="375" t="str">
        <f>IF(ISERROR((C_N2K S_take_off9)-$U$80),"N/A",((C_N2K S_take_off9)-$U$80))</f>
        <v>N/A</v>
      </c>
      <c r="N75" s="359" t="str">
        <f>IF(OR($R$75=80,$R$75=85),"B8",IF(OR($R$75=94,$R$75=95),"B9","N/A"))</f>
        <v>N/A</v>
      </c>
      <c r="O75" s="358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64" t="s">
        <v>495</v>
      </c>
      <c r="Q75" s="358" t="str">
        <f>IF($O$75="N/A",$N$75,$O$75)</f>
        <v>N/A</v>
      </c>
      <c r="R75" s="365" t="str">
        <f>IF(ISERROR(VLOOKUP(C_Engine_Rating S_take_off4, enum_list!$A$2:$F$102,1,1)),"N/A",VLOOKUP(C_Engine_Rating S_take_off4, enum_list!$A$2:$F$102,1,1))</f>
        <v>N/A</v>
      </c>
      <c r="S75" s="339">
        <f>IF($Q$75="B1",E49,IF($Q$75="B2",J49,IF($Q$75="B3",O49,IF($Q$75="B4",T49,IF($Q$75="B5",Y49,IF($Q$75="B6",AD49,IF($Q$75="B7",T49,IF($Q$75="B8",AI49,AN49))))))))</f>
        <v>0</v>
      </c>
      <c r="T75" s="324">
        <f>IF($Q$75="B1",F49,IF($Q$75="B2",K49,IF($Q$75="B3",P49,IF($Q$75="B4",U49,IF($Q$75="B5",Z49,IF($Q$75="B6",AE49,IF($Q$75="B7",U49,IF($Q$75="B8",AJ49,AO49))))))))</f>
        <v>0</v>
      </c>
      <c r="U75" s="324">
        <f>IF($Q$75="B1",G49,IF($Q$75="B2",L49,IF($Q$75="B3",Q49,IF($Q$75="B4",V49,IF($Q$75="B5",AA49,IF($Q$75="B6",AF49,IF($Q$75="B7",V49,IF($Q$75="B8",AK49,AP49))))))))</f>
        <v>0</v>
      </c>
      <c r="V75" s="368">
        <f>IF($Q$75="B1",H49,IF($Q$75="B2",M49,IF($Q$75="B3",R49,IF($Q$75="B4",W49,IF($Q$75="B5",AB49,IF($Q$75="B6",AG49,IF($Q$75="B7",W49,IF($Q$75="B8",AL49,AQ49))))))))</f>
        <v>0</v>
      </c>
      <c r="W75" s="339">
        <f>IF($Q$75="B1",E62,IF($Q$75="B2",J62,IF($Q$75="B3",O62,IF($Q$75="B4",T62,IF($Q$75="B5",Y62,IF($Q$75="B6",AD62,IF($Q$75="B7",T62,IF($Q$75="B8",AI62,AN62))))))))</f>
        <v>0</v>
      </c>
      <c r="X75" s="324">
        <f>IF($Q$75="B1",F62,IF($Q$75="B2",K62,IF($Q$75="B3",P62,IF($Q$75="B4",U62,IF($Q$75="B5",Z62,IF($Q$75="B6",AE62,IF($Q$75="B7",U62,IF($Q$75="B8",AJ62,AO62))))))))</f>
        <v>0</v>
      </c>
      <c r="Y75" s="324">
        <f>IF($Q$75="B1",G62,IF($Q$75="B2",L62,IF($Q$75="B3",Q62,IF($Q$75="B4",V62,IF($Q$75="B5",AA62,IF($Q$75="B6",AF62,IF($Q$75="B7",V62,IF($Q$75="B8",AK62,AP62))))))))</f>
        <v>0</v>
      </c>
      <c r="Z75" s="330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66"/>
      <c r="C76" s="379" t="s">
        <v>532</v>
      </c>
      <c r="D76" s="350" t="str">
        <f>IF(ISERROR((C_N1REF_TO S_take_off1)-$V$72),"N/A",((C_N1REF_TO S_take_off1)-$V$72))</f>
        <v>N/A</v>
      </c>
      <c r="E76" s="350" t="str">
        <f>IF(ISERROR((C_N1REF_TO S_take_off2)-$V$73),"N/A",((C_N1REF_TO S_take_off2)-$V$73))</f>
        <v>N/A</v>
      </c>
      <c r="F76" s="350" t="str">
        <f>IF(ISERROR((C_N1REF_TO S_take_off3)-$V$74),"N/A",((C_N1REF_TO S_take_off3)-$V$74))</f>
        <v>N/A</v>
      </c>
      <c r="G76" s="350" t="str">
        <f>IF(ISERROR((C_N1REF_TO S_take_off4)-$V$75),"N/A",((C_N1REF_TO S_take_off4)-$V$75))</f>
        <v>N/A</v>
      </c>
      <c r="H76" s="350" t="str">
        <f>IF(ISERROR((C_N1REF_TO S_take_off5)-$V$76),"N/A",((C_N1REF_TO S_take_off5)-$V$76))</f>
        <v>N/A</v>
      </c>
      <c r="I76" s="350" t="str">
        <f>IF(ISERROR((C_N1REF_TO S_take_off6)-$V$77),"N/A",((C_N1REF_TO S_take_off6)-$V$77))</f>
        <v>N/A</v>
      </c>
      <c r="J76" s="350" t="str">
        <f>IF(ISERROR((C_N1REF_TO S_take_off7)-$V$78),"N/A",((C_N1REF_TO S_take_off7)-$V$78))</f>
        <v>N/A</v>
      </c>
      <c r="K76" s="350" t="str">
        <f>IF(ISERROR((C_N1REF_TO S_take_off8)-$V$79),"N/A",((C_N1REF_TO S_take_off8)-$V$79))</f>
        <v>N/A</v>
      </c>
      <c r="L76" s="375" t="str">
        <f>IF(ISERROR((C_N1REF_TO S_take_off9)-$V$80),"N/A",((C_N1REF_TO S_take_off9)-$V$80))</f>
        <v>N/A</v>
      </c>
      <c r="N76" s="359" t="str">
        <f>IF(OR($R$76=80,$R$76=85),"B8",IF(OR($R$76=94,$R$76=95),"B9","N/A"))</f>
        <v>N/A</v>
      </c>
      <c r="O76" s="358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64" t="s">
        <v>496</v>
      </c>
      <c r="Q76" s="358" t="str">
        <f>IF($O$76="N/A",$N$76,$O$76)</f>
        <v>N/A</v>
      </c>
      <c r="R76" s="365" t="str">
        <f>IF(ISERROR(VLOOKUP(C_Engine_Rating S_take_off5, enum_list!$A$2:$F$102,1,1)),"N/A",VLOOKUP(C_Engine_Rating S_take_off5, enum_list!$A$2:$F$102,1,1))</f>
        <v>N/A</v>
      </c>
      <c r="S76" s="339">
        <f>IF($Q$76="B1",E50,IF($Q$76="B2",J50,IF($Q$76="B3",O50,IF($Q$76="B4",T50,IF($Q$76="B5",Y50,IF($Q$76="B6",AD50,IF($Q$76="B7",T50,IF($Q$76="B8",AI50,AN50))))))))</f>
        <v>0</v>
      </c>
      <c r="T76" s="324">
        <f>IF($Q$76="B1",F50,IF($Q$76="B2",K50,IF($Q$76="B3",P50,IF($Q$76="B4",U50,IF($Q$76="B5",Z50,IF($Q$76="B6",AE50,IF($Q$76="B7",U50,IF($Q$76="B8",AJ50,AO50))))))))</f>
        <v>0</v>
      </c>
      <c r="U76" s="324">
        <f>IF($Q$76="B1",G50,IF($Q$76="B2",L50,IF($Q$76="B3",Q50,IF($Q$76="B4",V50,IF($Q$76="B5",AA50,IF($Q$76="B6",AF50,IF($Q$76="B7",V50,IF($Q$76="B8",AK50,AP50))))))))</f>
        <v>0</v>
      </c>
      <c r="V76" s="368">
        <f>IF($Q$76="B1",H50,IF($Q$76="B2",M50,IF($Q$76="B3",R50,IF($Q$76="B4",W50,IF($Q$76="B5",AB50,IF($Q$76="B6",AG50,IF($Q$76="B7",W50,IF($Q$76="B8",AL50,AQ50))))))))</f>
        <v>0</v>
      </c>
      <c r="W76" s="339">
        <f>IF($Q$76="B1",E63,IF($Q$76="B2",J63,IF($Q$76="B3",O63,IF($Q$76="B4",T63,IF($Q$76="B5",Y63,IF($Q$76="B6",AD63,IF($Q$76="B7",T63,IF($Q$76="B8",AI63,AN63))))))))</f>
        <v>0</v>
      </c>
      <c r="X76" s="324">
        <f>IF($Q$76="B1",F63,IF($Q$76="B2",K63,IF($Q$76="B3",P63,IF($Q$76="B4",U63,IF($Q$76="B5",Z63,IF($Q$76="B6",AE63,IF($Q$76="B7",U63,IF($Q$76="B8",AJ63,AO63))))))))</f>
        <v>0</v>
      </c>
      <c r="Y76" s="324">
        <f>IF($Q$76="B1",G63,IF($Q$76="B2",L63,IF($Q$76="B3",Q63,IF($Q$76="B4",V63,IF($Q$76="B5",AA63,IF($Q$76="B6",AF63,IF($Q$76="B7",V63,IF($Q$76="B8",AK63,AP63))))))))</f>
        <v>0</v>
      </c>
      <c r="Z76" s="330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64" t="s">
        <v>512</v>
      </c>
      <c r="C77" s="379" t="s">
        <v>18</v>
      </c>
      <c r="D77" s="350" t="str">
        <f>IF(ISERROR((C_FNK S_maxi_continu1)-$W$72),"N/A",((C_FNK S_maxi_continu1)-$W$72))</f>
        <v>N/A</v>
      </c>
      <c r="E77" s="350" t="str">
        <f>IF(ISERROR((C_FNK S_maxi_continu2)-$W$73),"N/A",((C_FNK S_maxi_continu2)-$W$73))</f>
        <v>N/A</v>
      </c>
      <c r="F77" s="350" t="str">
        <f>IF(ISERROR((C_FNK S_maxi_continu3)-$W$74),"N/A",((C_FNK S_maxi_continu3)-$W$74))</f>
        <v>N/A</v>
      </c>
      <c r="G77" s="350" t="str">
        <f>IF(ISERROR((C_FNK S_maxi_continu4)-$W$75),"N/A",((C_FNK S_maxi_continu4)-$W$75))</f>
        <v>N/A</v>
      </c>
      <c r="H77" s="350" t="str">
        <f>IF(ISERROR((C_FNK S_maxi_continu5)-$W$76),"N/A",((C_FNK S_maxi_continu5)-$W$76))</f>
        <v>N/A</v>
      </c>
      <c r="I77" s="350" t="str">
        <f>IF(ISERROR((C_FNK S_maxi_continu6)-$W$77),"N/A",((C_FNK S_maxi_continu6)-$W$77))</f>
        <v>N/A</v>
      </c>
      <c r="J77" s="350" t="str">
        <f>IF(ISERROR((C_FNK S_maxi_continu7)-$W$78),"N/A",((C_FNK S_maxi_continu7)-$W$78))</f>
        <v>N/A</v>
      </c>
      <c r="K77" s="350" t="str">
        <f>IF(ISERROR((C_FNK S_maxi_continu8)-$W$79),"N/A",((C_FNK S_maxi_continu8)-$W$79))</f>
        <v>N/A</v>
      </c>
      <c r="L77" s="375" t="str">
        <f>IF(ISERROR((C_FNK S_maxi_continu9)-$W$80),"N/A",((C_FNK S_maxi_continu9)-$W$80))</f>
        <v>N/A</v>
      </c>
      <c r="N77" s="359" t="str">
        <f>IF(OR($R$77=80,$R$77=85),"B8",IF(OR($R$77=94,$R$77=95),"B9","N/A"))</f>
        <v>N/A</v>
      </c>
      <c r="O77" s="358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64" t="s">
        <v>497</v>
      </c>
      <c r="Q77" s="358" t="str">
        <f>IF($O$77="N/A",$N$77,$O$77)</f>
        <v>N/A</v>
      </c>
      <c r="R77" s="365" t="str">
        <f>IF(ISERROR(VLOOKUP(C_Engine_Rating S_take_off6, enum_list!$A$2:$F$102,1,1)),"N/A",VLOOKUP(C_Engine_Rating S_take_off6, enum_list!$A$2:$F$102,1,1))</f>
        <v>N/A</v>
      </c>
      <c r="S77" s="339">
        <f>IF($Q$77="B1",E51,IF($Q$77="B2",J51,IF($Q$77="B3",O51,IF($Q$77="B4",T51,IF($Q$77="B5",Y51,IF($Q$77="B6",AD51,IF($Q$77="B7",T51,IF($Q$77="B8",AI51,AN51))))))))</f>
        <v>0</v>
      </c>
      <c r="T77" s="324">
        <f>IF($Q$77="B1",F51,IF($Q$77="B2",K51,IF($Q$77="B3",P51,IF($Q$77="B4",U51,IF($Q$77="B5",Z51,IF($Q$77="B6",AE51,IF($Q$77="B7",U51,IF($Q$77="B8",AJ51,AO51))))))))</f>
        <v>0</v>
      </c>
      <c r="U77" s="324">
        <f>IF($Q$77="B1",G51,IF($Q$77="B2",L51,IF($Q$77="B3",Q51,IF($Q$77="B4",V51,IF($Q$77="B5",AA51,IF($Q$77="B6",AF51,IF($Q$77="B7",V51,IF($Q$77="B8",AK51,AP51))))))))</f>
        <v>0</v>
      </c>
      <c r="V77" s="368">
        <f>IF($Q$77="B1",H51,IF($Q$77="B2",M51,IF($Q$77="B3",R51,IF($Q$77="B4",W51,IF($Q$77="B5",AB51,IF($Q$77="B6",AG51,IF($Q$77="B7",W51,IF($Q$77="B8",AL51,AQ51))))))))</f>
        <v>0</v>
      </c>
      <c r="W77" s="339">
        <f>IF($Q$77="B1",E64,IF($Q$77="B2",J64,IF($Q$77="B3",O64,IF($Q$77="B4",T64,IF($Q$77="B5",Y64,IF($Q$77="B6",AD64,IF($Q$77="B7",T64,IF($Q$77="B8",AI64,AN64))))))))</f>
        <v>0</v>
      </c>
      <c r="X77" s="324">
        <f>IF($Q$77="B1",F64,IF($Q$77="B2",K64,IF($Q$77="B3",P64,IF($Q$77="B4",U64,IF($Q$77="B5",Z64,IF($Q$77="B6",AE64,IF($Q$77="B7",U64,IF($Q$77="B8",AJ64,AO64))))))))</f>
        <v>0</v>
      </c>
      <c r="Y77" s="324">
        <f>IF($Q$77="B1",G64,IF($Q$77="B2",L64,IF($Q$77="B3",Q64,IF($Q$77="B4",V64,IF($Q$77="B5",AA64,IF($Q$77="B6",AF64,IF($Q$77="B7",V64,IF($Q$77="B8",AK64,AP64))))))))</f>
        <v>0</v>
      </c>
      <c r="Z77" s="330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65"/>
      <c r="C78" s="379" t="s">
        <v>142</v>
      </c>
      <c r="D78" s="350" t="str">
        <f>IF(ISERROR((C_EGTK S_maxi_continu1)-$X$72),"N/A",((C_EGTK S_maxi_continu1)-$X$72))</f>
        <v>N/A</v>
      </c>
      <c r="E78" s="350" t="str">
        <f>IF(ISERROR((C_EGTK S_maxi_continu2)-$X$73),"N/A",((C_EGTK S_maxi_continu2)-$X$73))</f>
        <v>N/A</v>
      </c>
      <c r="F78" s="350" t="str">
        <f>IF(ISERROR((C_EGTK S_maxi_continu3)-$X$74),"N/A",((C_EGTK S_maxi_continu3)-$X$74))</f>
        <v>N/A</v>
      </c>
      <c r="G78" s="350" t="str">
        <f>IF(ISERROR((C_EGTK S_maxi_continu4)-$X$75),"N/A",((C_EGTK S_maxi_continu4)-$X$75))</f>
        <v>N/A</v>
      </c>
      <c r="H78" s="350" t="str">
        <f>IF(ISERROR((C_EGTK S_maxi_continu5)-$X$76),"N/A",((C_EGTK S_maxi_continu5)-$X$76))</f>
        <v>N/A</v>
      </c>
      <c r="I78" s="350" t="str">
        <f>IF(ISERROR((C_EGTK S_maxi_continu6)-$X$77),"N/A",((C_EGTK S_maxi_continu6)-$X$77))</f>
        <v>N/A</v>
      </c>
      <c r="J78" s="350" t="str">
        <f>IF(ISERROR((C_EGTK S_maxi_continu7)-$X$78),"N/A",((C_EGTK S_maxi_continu7)-$X$78))</f>
        <v>N/A</v>
      </c>
      <c r="K78" s="350" t="str">
        <f>IF(ISERROR((C_EGTK S_maxi_continu8)-$X$79),"N/A",((C_EGTK S_maxi_continu8)-$X$79))</f>
        <v>N/A</v>
      </c>
      <c r="L78" s="375" t="str">
        <f>IF(ISERROR((C_EGTK S_maxi_continu9)-$X$80),"N/A",((C_EGTK S_maxi_continu9)-$X$80))</f>
        <v>N/A</v>
      </c>
      <c r="N78" s="359" t="str">
        <f>IF(OR($R$78=80,$R$78=85),"B8",IF(OR($R$78=94,$R$78=95),"B9","N/A"))</f>
        <v>N/A</v>
      </c>
      <c r="O78" s="358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64" t="s">
        <v>498</v>
      </c>
      <c r="Q78" s="358" t="str">
        <f>IF($O$78="N/A",$N$78,$O$78)</f>
        <v>N/A</v>
      </c>
      <c r="R78" s="365" t="str">
        <f>IF(ISERROR(VLOOKUP(C_Engine_Rating S_take_off7, enum_list!$A$2:$F$102,1,1)),"N/A",VLOOKUP(C_Engine_Rating S_take_off7, enum_list!$A$2:$F$102,1,1))</f>
        <v>N/A</v>
      </c>
      <c r="S78" s="339">
        <f>IF($Q$78="B1",E52,IF($Q$78="B2",J52,IF($Q$78="B3",O52,IF($Q$78="B4",T52,IF($Q$78="B5",Y52,IF($Q$78="B6",AD52,IF($Q$78="B7",T52,IF($Q$78="B8",AI52,AN52))))))))</f>
        <v>0</v>
      </c>
      <c r="T78" s="324">
        <f>IF($Q$78="B1",F52,IF($Q$78="B2",K52,IF($Q$78="B3",P52,IF($Q$78="B4",U52,IF($Q$78="B5",Z52,IF($Q$78="B6",AE52,IF($Q$78="B7",U52,IF($Q$78="B8",AJ52,AO52))))))))</f>
        <v>0</v>
      </c>
      <c r="U78" s="324">
        <f>IF($Q$78="B1",G52,IF($Q$78="B2",L52,IF($Q$78="B3",Q52,IF($Q$78="B4",V52,IF($Q$78="B5",AA52,IF($Q$78="B6",AF52,IF($Q$78="B7",V52,IF($Q$78="B8",AK52,AP52))))))))</f>
        <v>0</v>
      </c>
      <c r="V78" s="368">
        <f>IF($Q$78="B1",H52,IF($Q$78="B2",M52,IF($Q$78="B3",R52,IF($Q$78="B4",W52,IF($Q$78="B5",AB52,IF($Q$78="B6",AG52,IF($Q$78="B7",W52,IF($Q$78="B8",AL52,AQ52))))))))</f>
        <v>0</v>
      </c>
      <c r="W78" s="339">
        <f>IF($Q$78="B1",E65,IF($Q$78="B2",J65,IF($Q$78="B3",O65,IF($Q$78="B4",T65,IF($Q$78="B5",Y65,IF($Q$78="B6",AD65,IF($Q$78="B7",T65,IF($Q$78="B8",AI65,AN65))))))))</f>
        <v>0</v>
      </c>
      <c r="X78" s="324">
        <f>IF($Q$78="B1",F65,IF($Q$78="B2",K65,IF($Q$78="B3",P65,IF($Q$78="B4",U65,IF($Q$78="B5",Z65,IF($Q$78="B6",AE65,IF($Q$78="B7",U65,IF($Q$78="B8",AJ65,AO65))))))))</f>
        <v>0</v>
      </c>
      <c r="Y78" s="324">
        <f>IF($Q$78="B1",G65,IF($Q$78="B2",L65,IF($Q$78="B3",Q65,IF($Q$78="B4",V65,IF($Q$78="B5",AA65,IF($Q$78="B6",AF65,IF($Q$78="B7",V65,IF($Q$78="B8",AK65,AP65))))))))</f>
        <v>0</v>
      </c>
      <c r="Z78" s="330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65"/>
      <c r="C79" s="379" t="s">
        <v>36</v>
      </c>
      <c r="D79" s="350" t="str">
        <f>IF(ISERROR((C_N2K S_maxi_continu1)-$Y$72),"N/A",((C_N2K S_maxi_continu1)-$Y$72))</f>
        <v>N/A</v>
      </c>
      <c r="E79" s="350" t="str">
        <f>IF(ISERROR((C_N2K S_maxi_continu2)-$Y$73),"N/A",((C_N2K S_maxi_continu2)-$Y$73))</f>
        <v>N/A</v>
      </c>
      <c r="F79" s="350" t="str">
        <f>IF(ISERROR((C_N2K S_maxi_continu3)-$Y$74),"N/A",((C_N2K S_maxi_continu3)-$Y$74))</f>
        <v>N/A</v>
      </c>
      <c r="G79" s="350" t="str">
        <f>IF(ISERROR((C_N2K S_maxi_continu4)-$Y$75),"N/A",((C_N2K S_maxi_continu4)-$Y$75))</f>
        <v>N/A</v>
      </c>
      <c r="H79" s="350" t="str">
        <f>IF(ISERROR((C_N2K S_maxi_continu5)-$Y$76),"N/A",((C_N2K S_maxi_continu5)-$Y$76))</f>
        <v>N/A</v>
      </c>
      <c r="I79" s="350" t="str">
        <f>IF(ISERROR((C_N2K S_maxi_continu6)-$Y$77),"N/A",((C_N2K S_maxi_continu6)-$Y$77))</f>
        <v>N/A</v>
      </c>
      <c r="J79" s="350" t="str">
        <f>IF(ISERROR((C_N2K S_maxi_continu7)-$Y$78),"N/A",((C_N2K S_maxi_continu7)-$Y$78))</f>
        <v>N/A</v>
      </c>
      <c r="K79" s="350" t="str">
        <f>IF(ISERROR((C_N2K S_maxi_continu8)-$Y$79),"N/A",((C_N2K S_maxi_continu8)-$Y$79))</f>
        <v>N/A</v>
      </c>
      <c r="L79" s="375" t="str">
        <f>IF(ISERROR((C_N2K S_maxi_continu9)-$Y$80),"N/A",((C_N2K S_maxi_continu9)-$Y$80))</f>
        <v>N/A</v>
      </c>
      <c r="N79" s="359" t="str">
        <f>IF(OR($R$79=80,$R$79=85),"B8",IF(OR($R$79=94,$R$79=95),"B9","N/A"))</f>
        <v>N/A</v>
      </c>
      <c r="O79" s="358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64" t="s">
        <v>499</v>
      </c>
      <c r="Q79" s="358" t="str">
        <f>IF($O$79="N/A",$N$79,$O$79)</f>
        <v>N/A</v>
      </c>
      <c r="R79" s="365" t="str">
        <f>IF(ISERROR(VLOOKUP(C_Engine_Rating S_take_off8, enum_list!$A$2:$F$102,1,1)),"N/A",VLOOKUP(C_Engine_Rating S_take_off8, enum_list!$A$2:$F$102,1,1))</f>
        <v>N/A</v>
      </c>
      <c r="S79" s="339">
        <f>IF($Q$79="B1",E53,IF($Q$79="B2",J53,IF($Q$79="B3",O53,IF($Q$79="B4",T53,IF($Q$79="B5",Y53,IF($Q$79="B6",AD53,IF($Q$79="B7",T53,IF($Q$79="B8",AI53,AN53))))))))</f>
        <v>0</v>
      </c>
      <c r="T79" s="324">
        <f>IF($Q$79="B1",F53,IF($Q$79="B2",K53,IF($Q$79="B3",P53,IF($Q$79="B4",U53,IF($Q$79="B5",Z53,IF($Q$79="B6",AE53,IF($Q$79="B7",U53,IF($Q$79="B8",AJ53,AO53))))))))</f>
        <v>0</v>
      </c>
      <c r="U79" s="324">
        <f>IF($Q$79="B1",G53,IF($Q$79="B2",L53,IF($Q$79="B3",Q53,IF($Q$79="B4",V53,IF($Q$79="B5",AA53,IF($Q$79="B6",AF53,IF($Q$79="B7",V53,IF($Q$79="B8",AK53,AP53))))))))</f>
        <v>0</v>
      </c>
      <c r="V79" s="368">
        <f>IF($Q$79="B1",H53,IF($Q$79="B2",M53,IF($Q$79="B3",R53,IF($Q$79="B4",W53,IF($Q$79="B5",AB53,IF($Q$79="B6",AG53,IF($Q$79="B7",W53,IF($Q$79="B8",AL53,AQ53))))))))</f>
        <v>0</v>
      </c>
      <c r="W79" s="339">
        <f>IF($Q$79="B1",E66,IF($Q$79="B2",J66,IF($Q$79="B3",O66,IF($Q$79="B4",T66,IF($Q$79="B5",Y66,IF($Q$79="B6",AD66,IF($Q$79="B7",T66,IF($Q$79="B8",AI66,AN66))))))))</f>
        <v>0</v>
      </c>
      <c r="X79" s="324">
        <f>IF($Q$79="B1",F66,IF($Q$79="B2",K66,IF($Q$79="B3",P66,IF($Q$79="B4",U66,IF($Q$79="B5",Z66,IF($Q$79="B6",AE66,IF($Q$79="B7",U66,IF($Q$79="B8",AJ66,AO66))))))))</f>
        <v>0</v>
      </c>
      <c r="Y79" s="324">
        <f>IF($Q$79="B1",G66,IF($Q$79="B2",L66,IF($Q$79="B3",Q66,IF($Q$79="B4",V66,IF($Q$79="B5",AA66,IF($Q$79="B6",AF66,IF($Q$79="B7",V66,IF($Q$79="B8",AK66,AP66))))))))</f>
        <v>0</v>
      </c>
      <c r="Z79" s="330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66"/>
      <c r="C80" s="380" t="s">
        <v>532</v>
      </c>
      <c r="D80" s="376" t="str">
        <f>IF(ISERROR((C_N1REF_MC S_maxi_continu1)-$Z$72),"N/A",((C_N1REF_MC S_maxi_continu1)-$Z$72))</f>
        <v>N/A</v>
      </c>
      <c r="E80" s="376" t="str">
        <f>IF(ISERROR((C_N1REF_MC S_maxi_continu2)-$Z$73),"N/A",((C_N1REF_MC S_maxi_continu2)-$Z$73))</f>
        <v>N/A</v>
      </c>
      <c r="F80" s="376" t="str">
        <f>IF(ISERROR((C_N1REF_MC S_maxi_continu3)-$Z$74),"N/A",((C_N1REF_MC S_maxi_continu3)-$Z$74))</f>
        <v>N/A</v>
      </c>
      <c r="G80" s="376" t="str">
        <f>IF(ISERROR((C_N1REF_MC S_maxi_continu4)-$Z$75),"N/A",((C_N1REF_MC S_maxi_continu4)-$Z$75))</f>
        <v>N/A</v>
      </c>
      <c r="H80" s="376" t="str">
        <f>IF(ISERROR((C_N1REF_MC S_maxi_continu5)-$Z$76),"N/A",((C_N1REF_MC S_maxi_continu5)-$Z$76))</f>
        <v>N/A</v>
      </c>
      <c r="I80" s="376" t="str">
        <f>IF(ISERROR((C_N1REF_MC S_maxi_continu6)-$Z$77),"N/A",((C_N1REF_MC S_maxi_continu6)-$Z$77))</f>
        <v>N/A</v>
      </c>
      <c r="J80" s="376" t="str">
        <f>IF(ISERROR((C_N1REF_MC S_maxi_continu7)-$Z$78),"N/A",((C_N1REF_MC S_maxi_continu7)-$Z$78))</f>
        <v>N/A</v>
      </c>
      <c r="K80" s="376" t="str">
        <f>IF(ISERROR((C_N1REF_MC S_maxi_continu8)-$Z$79),"N/A",((C_N1REF_MC S_maxi_continu8)-$Z$79))</f>
        <v>N/A</v>
      </c>
      <c r="L80" s="377" t="str">
        <f>IF(ISERROR((C_N1REF_MC S_maxi_continu9)-$Z$80),"N/A",((C_N1REF_MC S_maxi_continu9)-$Z$80))</f>
        <v>N/A</v>
      </c>
      <c r="N80" s="356" t="str">
        <f>IF(OR($R$80=80,$R$80=85),"B8",IF(OR($R$80=94,$R$80=95),"B9","N/A"))</f>
        <v>N/A</v>
      </c>
      <c r="O80" s="301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78" t="s">
        <v>500</v>
      </c>
      <c r="Q80" s="301" t="str">
        <f>IF($O$80="N/A",$N$80,$O$80)</f>
        <v>N/A</v>
      </c>
      <c r="R80" s="366" t="str">
        <f>IF(ISERROR(VLOOKUP(C_Engine_Rating S_take_off9, enum_list!$A$2:$F$102,1,1)),"N/A",VLOOKUP(C_Engine_Rating S_take_off9, enum_list!$A$2:$F$102,1,1))</f>
        <v>N/A</v>
      </c>
      <c r="S80" s="340">
        <f>IF($Q$80="B1",E54,IF($Q$80="B2",J54,IF($Q$80="B3",O54,IF($Q$80="B4",T54,IF($Q$80="B5",Y54,IF($Q$80="B6",AD54,IF($Q$80="B7",T54,IF($Q$80="B8",AI54,AN54))))))))</f>
        <v>0</v>
      </c>
      <c r="T80" s="331">
        <f>IF($Q$80="B1",F54,IF($Q$80="B2",K54,IF($Q$80="B3",P54,IF($Q$80="B4",U54,IF($Q$80="B5",Z54,IF($Q$80="B6",AE54,IF($Q$80="B7",U54,IF($Q$80="B8",AJ54,AO54))))))))</f>
        <v>0</v>
      </c>
      <c r="U80" s="331">
        <f>IF($Q$80="B1",G54,IF($Q$80="B2",L54,IF($Q$80="B3",Q54,IF($Q$80="B4",V54,IF($Q$80="B5",AA54,IF($Q$80="B6",AF54,IF($Q$80="B7",V54,IF($Q$80="B8",AK54,AP54))))))))</f>
        <v>0</v>
      </c>
      <c r="V80" s="369">
        <f>IF($Q$80="B1",H54,IF($Q$80="B2",M54,IF($Q$80="B3",R54,IF($Q$80="B4",W54,IF($Q$80="B5",AB54,IF($Q$80="B6",AG54,IF($Q$80="B7",W54,IF($Q$80="B8",AL54,AQ54))))))))</f>
        <v>0</v>
      </c>
      <c r="W80" s="340">
        <f>IF($Q$80="B1",E67,IF($Q$80="B2",J67,IF($Q$80="B3",O67,IF($Q$80="B4",T67,IF($Q$80="B5",Y67,IF($Q$80="B6",AD67,IF($Q$80="B7",T67,IF($Q$80="B8",AI67,AN67))))))))</f>
        <v>0</v>
      </c>
      <c r="X80" s="331">
        <f>IF($Q$80="B1",F67,IF($Q$80="B2",K67,IF($Q$80="B3",P67,IF($Q$80="B4",U67,IF($Q$80="B5",Z67,IF($Q$80="B6",AE67,IF($Q$80="B7",U67,IF($Q$80="B8",AJ67,AO67))))))))</f>
        <v>0</v>
      </c>
      <c r="Y80" s="331">
        <f>IF($Q$80="B1",G67,IF($Q$80="B2",L67,IF($Q$80="B3",Q67,IF($Q$80="B4",V67,IF($Q$80="B5",AA67,IF($Q$80="B6",AF67,IF($Q$80="B7",V67,IF($Q$80="B8",AK67,AP67))))))))</f>
        <v>0</v>
      </c>
      <c r="Z80" s="332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652" t="s">
        <v>568</v>
      </c>
      <c r="C82" s="653"/>
      <c r="D82" s="653"/>
      <c r="E82" s="653"/>
      <c r="F82" s="653"/>
      <c r="G82" s="653"/>
      <c r="H82" s="653"/>
      <c r="I82" s="653"/>
      <c r="J82" s="653"/>
      <c r="K82" s="653"/>
      <c r="L82" s="654"/>
    </row>
    <row r="83" spans="2:12" ht="13.5" thickBot="1" x14ac:dyDescent="0.25">
      <c r="B83" s="655"/>
      <c r="C83" s="656"/>
      <c r="D83" s="656"/>
      <c r="E83" s="656"/>
      <c r="F83" s="656"/>
      <c r="G83" s="656"/>
      <c r="H83" s="656"/>
      <c r="I83" s="656"/>
      <c r="J83" s="656"/>
      <c r="K83" s="656"/>
      <c r="L83" s="657"/>
    </row>
    <row r="84" spans="2:12" ht="13.5" thickBot="1" x14ac:dyDescent="0.25">
      <c r="B84" s="374"/>
      <c r="C84" s="60"/>
      <c r="D84" s="372" t="s">
        <v>521</v>
      </c>
      <c r="E84" s="372" t="s">
        <v>522</v>
      </c>
      <c r="F84" s="372" t="s">
        <v>523</v>
      </c>
      <c r="G84" s="372" t="s">
        <v>524</v>
      </c>
      <c r="H84" s="372" t="s">
        <v>525</v>
      </c>
      <c r="I84" s="372" t="s">
        <v>526</v>
      </c>
      <c r="J84" s="372" t="s">
        <v>527</v>
      </c>
      <c r="K84" s="372" t="s">
        <v>528</v>
      </c>
      <c r="L84" s="373" t="s">
        <v>529</v>
      </c>
    </row>
    <row r="85" spans="2:12" x14ac:dyDescent="0.2">
      <c r="B85" s="667" t="s">
        <v>511</v>
      </c>
      <c r="C85" s="381" t="s">
        <v>34</v>
      </c>
      <c r="D85" s="350" t="str">
        <f>IF(ISERROR(C_N2R2HD S_take_off1 -$U$72),"N/A",(C_N2R2HD S_take_off1 -$U$72))</f>
        <v>N/A</v>
      </c>
      <c r="E85" s="350" t="str">
        <f>IF(ISERROR(C_N2R2HD S_take_off2 -$U$73),"N/A",(C_N2R2HD S_take_off2 -$U$73))</f>
        <v>N/A</v>
      </c>
      <c r="F85" s="350" t="str">
        <f>IF(ISERROR(C_N2R2HD S_take_off3-$U$74),"N/A",(C_N2R2HD S_take_off3-$U$74))</f>
        <v>N/A</v>
      </c>
      <c r="G85" s="350" t="str">
        <f>IF(ISERROR(C_N2R2HD S_take_off4-$U$75),"N/A",(C_N2R2HD S_take_off4-$U$75))</f>
        <v>N/A</v>
      </c>
      <c r="H85" s="350" t="str">
        <f>IF(ISERROR(C_N2R2HD S_take_off5-$U$76),"N/A",(C_N2R2HD S_take_off5-$U$76))</f>
        <v>N/A</v>
      </c>
      <c r="I85" s="350" t="str">
        <f>IF(ISERROR(C_N2R2HD S_take_off6-$U$77),"N/A",(C_N2R2HD S_take_off6-$U$77))</f>
        <v>N/A</v>
      </c>
      <c r="J85" s="350" t="str">
        <f>IF(ISERROR(C_N2R2HD S_take_off7-$U$78),"N/A",(C_N2R2HD S_take_off7-$U$78))</f>
        <v>N/A</v>
      </c>
      <c r="K85" s="350" t="str">
        <f>IF(ISERROR(C_N2R2HD S_take_off8-$U$79),"N/A",(C_N2R2HD S_take_off8-$U$79))</f>
        <v>N/A</v>
      </c>
      <c r="L85" s="375" t="str">
        <f>IF(ISERROR(C_N2R2HD S_take_off9-$U$80),"N/A",(C_N2R2HD S_take_off9-$U$80))</f>
        <v>N/A</v>
      </c>
    </row>
    <row r="86" spans="2:12" ht="13.5" thickBot="1" x14ac:dyDescent="0.25">
      <c r="B86" s="668"/>
      <c r="C86" s="381" t="s">
        <v>5</v>
      </c>
      <c r="D86" s="350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50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50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50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50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50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50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50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75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67" t="s">
        <v>512</v>
      </c>
      <c r="C87" s="381" t="s">
        <v>34</v>
      </c>
      <c r="D87" s="350" t="str">
        <f>IF(ISERROR(C_N2R2HD S_maxi_continu1 -$Y$72),"N/A",(C_N2R2HD S_maxi_continu1 -$Y$72))</f>
        <v>N/A</v>
      </c>
      <c r="E87" s="350" t="str">
        <f>IF(ISERROR(C_N2R2HD S_maxi_continu2 -$Y$73),"N/A",(C_N2R2HD S_maxi_continu2 -$Y$73))</f>
        <v>N/A</v>
      </c>
      <c r="F87" s="350" t="str">
        <f>IF(ISERROR(C_N2R2HD S_maxi_continu3-$Y$74),"N/A",(C_N2R2HD S_maxi_continu3-$Y$74))</f>
        <v>N/A</v>
      </c>
      <c r="G87" s="350" t="str">
        <f>IF(ISERROR(C_N2R2HD S_maxi_continu4-$Y$75),"N/A",(C_N2R2HD S_maxi_continu4-$Y$75))</f>
        <v>N/A</v>
      </c>
      <c r="H87" s="350" t="str">
        <f>IF(ISERROR(C_N2R2HD S_maxi_continu5-$Y$76),"N/A",(C_N2R2HD S_maxi_continu5-$Y$76))</f>
        <v>N/A</v>
      </c>
      <c r="I87" s="350" t="str">
        <f>IF(ISERROR(C_N2R2HD S_maxi_continu6-$Y$77),"N/A",(C_N2R2HD S_maxi_continu6-$Y$77))</f>
        <v>N/A</v>
      </c>
      <c r="J87" s="350" t="str">
        <f>IF(ISERROR(C_N2R2HD S_maxi_continu7-$Y$78),"N/A",(C_N2R2HD S_maxi_continu7-$Y$78))</f>
        <v>N/A</v>
      </c>
      <c r="K87" s="350" t="str">
        <f>IF(ISERROR(C_N2R2HD S_maxi_continu8-$Y$79),"N/A",(C_N2R2HD S_maxi_continu8-$Y$79))</f>
        <v>N/A</v>
      </c>
      <c r="L87" s="375" t="str">
        <f>IF(ISERROR(C_N2R2HD S_maxi_continu9-$Y$80),"N/A",(C_N2R2HD S_maxi_continu9-$Y$80))</f>
        <v>N/A</v>
      </c>
    </row>
    <row r="88" spans="2:12" ht="13.5" thickBot="1" x14ac:dyDescent="0.25">
      <c r="B88" s="668"/>
      <c r="C88" s="382" t="s">
        <v>5</v>
      </c>
      <c r="D88" s="376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76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76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76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76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76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76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76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77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652" t="s">
        <v>531</v>
      </c>
      <c r="C90" s="653"/>
      <c r="D90" s="653"/>
      <c r="E90" s="653"/>
      <c r="F90" s="653"/>
      <c r="G90" s="653"/>
      <c r="H90" s="653"/>
      <c r="I90" s="653"/>
      <c r="J90" s="653"/>
      <c r="K90" s="653"/>
      <c r="L90" s="654"/>
    </row>
    <row r="91" spans="2:12" ht="13.5" thickBot="1" x14ac:dyDescent="0.25">
      <c r="B91" s="655"/>
      <c r="C91" s="656"/>
      <c r="D91" s="656"/>
      <c r="E91" s="656"/>
      <c r="F91" s="656"/>
      <c r="G91" s="656"/>
      <c r="H91" s="656"/>
      <c r="I91" s="656"/>
      <c r="J91" s="656"/>
      <c r="K91" s="656"/>
      <c r="L91" s="657"/>
    </row>
    <row r="92" spans="2:12" ht="13.5" thickBot="1" x14ac:dyDescent="0.25">
      <c r="B92" s="383"/>
      <c r="C92" s="384"/>
      <c r="D92" s="346" t="s">
        <v>521</v>
      </c>
      <c r="E92" s="346" t="s">
        <v>522</v>
      </c>
      <c r="F92" s="346" t="s">
        <v>523</v>
      </c>
      <c r="G92" s="346" t="s">
        <v>524</v>
      </c>
      <c r="H92" s="346" t="s">
        <v>525</v>
      </c>
      <c r="I92" s="346" t="s">
        <v>526</v>
      </c>
      <c r="J92" s="346" t="s">
        <v>527</v>
      </c>
      <c r="K92" s="346" t="s">
        <v>528</v>
      </c>
      <c r="L92" s="347" t="s">
        <v>529</v>
      </c>
    </row>
    <row r="93" spans="2:12" ht="13.5" thickBot="1" x14ac:dyDescent="0.25">
      <c r="B93" s="454" t="s">
        <v>511</v>
      </c>
      <c r="C93" s="379" t="s">
        <v>544</v>
      </c>
      <c r="D93" s="350" t="str">
        <f>IF(ISERROR($D$76*(C_THETA_HD S_take_off1^C_EXPN1M S_take_off1)),"N/A",($D$76*(C_THETA_HD S_take_off1^C_EXPN1M S_take_off1)))</f>
        <v>N/A</v>
      </c>
      <c r="E93" s="350" t="str">
        <f>IF(ISERROR($E$76*(C_THETA_HD S_take_off2^C_EXPN1M S_take_off2)),"N/A",($E$76*(C_THETA_HD S_take_off2^C_EXPN1M S_take_off2)))</f>
        <v>N/A</v>
      </c>
      <c r="F93" s="350" t="str">
        <f>IF(ISERROR($F$76*(C_THETA_HD S_take_off3^C_EXPN1M S_take_off3)),"N/A",($F$76*(C_THETA_HD S_take_off3^C_EXPN1M S_take_off3)))</f>
        <v>N/A</v>
      </c>
      <c r="G93" s="350" t="str">
        <f>IF(ISERROR($G$76*(C_THETA_HD S_take_off4^C_EXPN1M S_take_off4)),"N/A",($G$76*(C_THETA_HD S_take_off4^C_EXPN1M S_take_off4)))</f>
        <v>N/A</v>
      </c>
      <c r="H93" s="350" t="str">
        <f>IF(ISERROR($H$76*(C_THETA_HD S_take_off5^C_EXPN1M S_take_off5)),"N/A",($H$76*(C_THETA_HD S_take_off5^C_EXPN1M S_take_off5)))</f>
        <v>N/A</v>
      </c>
      <c r="I93" s="350" t="str">
        <f>IF(ISERROR($I$76*(C_THETA_HD S_take_off6^C_EXPN1M S_take_off6)),"N/A",($I$76*(C_THETA_HD S_take_off6^C_EXPN1M S_take_off6)))</f>
        <v>N/A</v>
      </c>
      <c r="J93" s="350" t="str">
        <f>IF(ISERROR($J$76*(C_THETA_HD S_take_off7^C_EXPN1M S_take_off7)),"N/A",($J$76*(C_THETA_HD S_take_off7^C_EXPN1M S_take_off7)))</f>
        <v>N/A</v>
      </c>
      <c r="K93" s="350" t="str">
        <f>IF(ISERROR($K$76*(C_THETA_HD S_take_off8^C_EXPN1M S_take_off8)),"N/A",($K$76*(C_THETA_HD S_take_off8^C_EXPN1M S_take_off8)))</f>
        <v>N/A</v>
      </c>
      <c r="L93" s="375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54" t="s">
        <v>512</v>
      </c>
      <c r="C94" s="380" t="s">
        <v>544</v>
      </c>
      <c r="D94" s="376" t="str">
        <f>IF(ISERROR($D$80*(C_THETA_HD S_maxi_continu1^C_EXPN1M S_maxi_continu1)),"N/A",($D$80*(C_THETA_HD S_maxi_continu1^C_EXPN1M S_maxi_continu1)))</f>
        <v>N/A</v>
      </c>
      <c r="E94" s="376" t="str">
        <f>IF(ISERROR($E$80*(C_THETA_HD S_maxi_continu2^C_EXPN1M S_maxi_continu2)),"N/A",($E$80*(C_THETA_HD S_maxi_continu2^C_EXPN1M S_maxi_continu2)))</f>
        <v>N/A</v>
      </c>
      <c r="F94" s="376" t="str">
        <f>IF(ISERROR($F$80*(C_THETA_HD S_maxi_continu3^C_EXPN1M S_maxi_continu3)),"N/A",($F$80*(C_THETA_HD S_maxi_continu3^C_EXPN1M S_maxi_continu3)))</f>
        <v>N/A</v>
      </c>
      <c r="G94" s="376" t="str">
        <f>IF(ISERROR($G$80*(C_THETA_HD S_maxi_continu4^C_EXPN1M S_maxi_continu4)),"N/A",($G$80*(C_THETA_HD S_maxi_continu4^C_EXPN1M S_maxi_continu4)))</f>
        <v>N/A</v>
      </c>
      <c r="H94" s="376" t="str">
        <f>IF(ISERROR($H$80*(C_THETA_HD S_maxi_continu5^C_EXPN1M S_maxi_continu5)),"N/A",($H$80*(C_THETA_HD S_maxi_continu5^C_EXPN1M S_maxi_continu5)))</f>
        <v>N/A</v>
      </c>
      <c r="I94" s="376" t="str">
        <f>IF(ISERROR($I$80*(C_THETA_HD S_maxi_continu6^C_EXPN1M S_maxi_continu6)),"N/A",($I$80*(C_THETA_HD S_maxi_continu6^C_EXPN1M S_maxi_continu6)))</f>
        <v>N/A</v>
      </c>
      <c r="J94" s="376" t="str">
        <f>IF(ISERROR($J$80*(C_THETA_HD S_maxi_continu7^C_EXPN1M S_maxi_continu7)),"N/A",($J$80*(C_THETA_HD S_maxi_continu7^C_EXPN1M S_maxi_continu7)))</f>
        <v>N/A</v>
      </c>
      <c r="K94" s="376" t="str">
        <f>IF(ISERROR($K$80*(C_THETA_HD S_maxi_continu8^C_EXPN1M S_maxi_continu8)),"N/A",($K$80*(C_THETA_HD S_maxi_continu8^C_EXPN1M S_maxi_continu8)))</f>
        <v>N/A</v>
      </c>
      <c r="L94" s="377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652" t="s">
        <v>562</v>
      </c>
      <c r="C96" s="653"/>
      <c r="D96" s="653"/>
      <c r="E96" s="653"/>
      <c r="F96" s="653"/>
      <c r="G96" s="653"/>
      <c r="H96" s="653"/>
      <c r="I96" s="653"/>
      <c r="J96" s="653"/>
      <c r="K96" s="653"/>
      <c r="L96" s="654"/>
    </row>
    <row r="97" spans="2:12" ht="13.5" thickBot="1" x14ac:dyDescent="0.25">
      <c r="B97" s="655"/>
      <c r="C97" s="656"/>
      <c r="D97" s="656"/>
      <c r="E97" s="656"/>
      <c r="F97" s="656"/>
      <c r="G97" s="656"/>
      <c r="H97" s="656"/>
      <c r="I97" s="656"/>
      <c r="J97" s="656"/>
      <c r="K97" s="656"/>
      <c r="L97" s="657"/>
    </row>
    <row r="98" spans="2:12" ht="13.5" thickBot="1" x14ac:dyDescent="0.25">
      <c r="B98" s="383"/>
      <c r="C98" s="384"/>
      <c r="D98" s="346" t="s">
        <v>521</v>
      </c>
      <c r="E98" s="346" t="s">
        <v>522</v>
      </c>
      <c r="F98" s="346" t="s">
        <v>523</v>
      </c>
      <c r="G98" s="346" t="s">
        <v>524</v>
      </c>
      <c r="H98" s="346" t="s">
        <v>525</v>
      </c>
      <c r="I98" s="346" t="s">
        <v>526</v>
      </c>
      <c r="J98" s="346" t="s">
        <v>527</v>
      </c>
      <c r="K98" s="346" t="s">
        <v>528</v>
      </c>
      <c r="L98" s="347" t="s">
        <v>529</v>
      </c>
    </row>
    <row r="99" spans="2:12" ht="24.75" thickBot="1" x14ac:dyDescent="0.25">
      <c r="B99" s="459" t="s">
        <v>511</v>
      </c>
      <c r="C99" s="464" t="s">
        <v>561</v>
      </c>
      <c r="D99" s="457" t="str">
        <f>IF(ISERROR((C_EGTHD_LIM_TO S_take_off1)-$D$86),"N/A",((C_EGTHD_LIM_TO S_take_off1)-$D$86))</f>
        <v>N/A</v>
      </c>
      <c r="E99" s="457" t="str">
        <f>IF(ISERROR((C_EGTHD_LIM_TO S_take_off2)-$E$86),"N/A",((C_EGTHD_LIM_TO S_take_off2)-$E$86))</f>
        <v>N/A</v>
      </c>
      <c r="F99" s="457" t="str">
        <f>IF(ISERROR((C_EGTHD_LIM_TO S_take_off3)-$F$86),"N/A",((C_EGTHD_LIM_TO S_take_off3)-$F$86))</f>
        <v>N/A</v>
      </c>
      <c r="G99" s="457" t="str">
        <f>IF(ISERROR((C_EGTHD_LIM_TO S_take_off4)-$G$86),"N/A",((C_EGTHD_LIM_TO S_take_off4)-$G$86))</f>
        <v>N/A</v>
      </c>
      <c r="H99" s="457" t="str">
        <f>IF(ISERROR((C_EGTHD_LIM_TO S_take_off5)-$H$86),"N/A",((C_EGTHD_LIM_TO S_take_off5)-$H$86))</f>
        <v>N/A</v>
      </c>
      <c r="I99" s="457" t="str">
        <f>IF(ISERROR((C_EGTHD_LIM_TO S_take_off6)-$I$86),"N/A",((C_EGTHD_LIM_TO S_take_off6)-$I$86))</f>
        <v>N/A</v>
      </c>
      <c r="J99" s="457" t="str">
        <f>IF(ISERROR((C_EGTHD_LIM_TO S_take_off7)-$J$86),"N/A",((C_EGTHD_LIM_TO S_take_off7)-$J$86))</f>
        <v>N/A</v>
      </c>
      <c r="K99" s="457" t="str">
        <f>IF(ISERROR((C_EGTHD_LIM_TO S_take_off8)-$K$86),"N/A",((C_EGTHD_LIM_TO S_take_off8)-$K$86))</f>
        <v>N/A</v>
      </c>
      <c r="L99" s="458" t="str">
        <f>IF(ISERROR((C_EGTHD_LIM_TO S_take_off9)-$L$86),"N/A",((C_EGTHD_LIM_TO S_take_off9)-$L$86))</f>
        <v>N/A</v>
      </c>
    </row>
    <row r="100" spans="2:12" ht="24.75" thickBot="1" x14ac:dyDescent="0.25">
      <c r="B100" s="459" t="s">
        <v>512</v>
      </c>
      <c r="C100" s="465" t="s">
        <v>561</v>
      </c>
      <c r="D100" s="460" t="str">
        <f>IF(ISERROR((C_EGTHD_LIM_MC S_maxi_continu1)-$D$88),"N/A",((C_EGTHD_LIM_MC S_maxi_continu1)-$D$88))</f>
        <v>N/A</v>
      </c>
      <c r="E100" s="460" t="str">
        <f>IF(ISERROR((C_EGTHD_LIM_MC S_maxi_continu2)-$E$88),"N/A",((C_EGTHD_LIM_MC S_maxi_continu2)-$E$88))</f>
        <v>N/A</v>
      </c>
      <c r="F100" s="460" t="str">
        <f>IF(ISERROR((C_EGTHD_LIM_MC S_maxi_continu3)-$F$88),"N/A",((C_EGTHD_LIM_MC S_maxi_continu3)-$F$88))</f>
        <v>N/A</v>
      </c>
      <c r="G100" s="460" t="str">
        <f>IF(ISERROR((C_EGTHD_LIM_MC S_maxi_continu4)-$G$88),"N/A",((C_EGTHD_LIM_MC S_maxi_continu4)-$G$88))</f>
        <v>N/A</v>
      </c>
      <c r="H100" s="460" t="str">
        <f>IF(ISERROR((C_EGTHD_LIM_MC S_maxi_continu5)-$H$88),"N/A",((C_EGTHD_LIM_MC S_maxi_continu5)-$H$88))</f>
        <v>N/A</v>
      </c>
      <c r="I100" s="460" t="str">
        <f>IF(ISERROR((C_EGTHD_LIM_MC S_maxi_continu6)-$I$88),"N/A",((C_EGTHD_LIM_MC S_maxi_continu6)-$I$88))</f>
        <v>N/A</v>
      </c>
      <c r="J100" s="460" t="str">
        <f>IF(ISERROR((C_EGTHD_LIM_MC S_maxi_continu7)-$J$88),"N/A",((C_EGTHD_LIM_MC S_maxi_continu7)-$J$88))</f>
        <v>N/A</v>
      </c>
      <c r="K100" s="460" t="str">
        <f>IF(ISERROR((C_EGTHD_LIM_MC S_maxi_continu8)-$K$88),"N/A",((C_EGTHD_LIM_MC S_maxi_continu8)-$K$88))</f>
        <v>N/A</v>
      </c>
      <c r="L100" s="461" t="str">
        <f>IF(ISERROR((C_EGTHD_LIM_MC S_maxi_continu9)-$L$88),"N/A",((C_EGTHD_LIM_MC S_maxi_continu9)-$L$88))</f>
        <v>N/A</v>
      </c>
    </row>
  </sheetData>
  <sheetProtection algorithmName="SHA-512" hashValue="HrNqMz6zKty5J7SOWpoxuQr5qyVg9pNMA8NK/AfZOzxfoyDAvHyZp3G1Bd5TsQ7Vea4El5HpJUsNzWM6zUSFPQ==" saltValue="IRLU/rWG217vOltlpvJXZg==" spinCount="100000" sheet="1" objects="1" scenarios="1"/>
  <mergeCells count="68"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  <mergeCell ref="AN56:AQ56"/>
    <mergeCell ref="AI56:AL56"/>
    <mergeCell ref="AD56:AG56"/>
    <mergeCell ref="E56:H56"/>
    <mergeCell ref="J56:M56"/>
    <mergeCell ref="O56:R56"/>
    <mergeCell ref="T56:W56"/>
    <mergeCell ref="Y56:AB56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E44:H44"/>
    <mergeCell ref="J44:M44"/>
    <mergeCell ref="O44:R44"/>
    <mergeCell ref="T44:W44"/>
    <mergeCell ref="E57:H57"/>
    <mergeCell ref="J57:M57"/>
    <mergeCell ref="O57:R57"/>
    <mergeCell ref="T57:W57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</mergeCells>
  <conditionalFormatting sqref="N70 B70 B82 B90 B96">
    <cfRule type="notContainsBlanks" dxfId="81" priority="5" stopIfTrue="1">
      <formula>LEN(TRIM(B70))&gt;0</formula>
    </cfRule>
  </conditionalFormatting>
  <conditionalFormatting sqref="B3 I3 P3 W3 B24 I24 P24 W24">
    <cfRule type="notContainsBlanks" dxfId="80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79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78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88"/>
  <sheetViews>
    <sheetView topLeftCell="A94" zoomScaleNormal="100" workbookViewId="0">
      <selection activeCell="L21" sqref="L21:M21"/>
    </sheetView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41"/>
      <c r="B1" s="142"/>
      <c r="C1" s="142"/>
      <c r="D1" s="142"/>
      <c r="E1" s="142"/>
      <c r="F1" s="142"/>
      <c r="G1" s="142"/>
      <c r="H1" s="142"/>
      <c r="I1" s="142"/>
      <c r="J1" s="708" t="s">
        <v>316</v>
      </c>
      <c r="K1" s="708"/>
      <c r="L1" s="708"/>
      <c r="M1" s="708"/>
      <c r="N1" s="708"/>
      <c r="O1" s="142"/>
      <c r="P1" s="142"/>
      <c r="Q1" s="142"/>
      <c r="R1" s="142"/>
      <c r="S1" s="142"/>
      <c r="T1" s="142"/>
      <c r="U1" s="143"/>
    </row>
    <row r="2" spans="1:21" s="42" customFormat="1" ht="13.5" customHeight="1" x14ac:dyDescent="0.25">
      <c r="A2" s="144"/>
      <c r="B2" s="145"/>
      <c r="C2" s="145"/>
      <c r="D2" s="145"/>
      <c r="E2" s="145"/>
      <c r="F2" s="145"/>
      <c r="G2" s="145"/>
      <c r="H2" s="145"/>
      <c r="I2" s="145"/>
      <c r="J2" s="146"/>
      <c r="K2" s="709" t="s">
        <v>425</v>
      </c>
      <c r="L2" s="709"/>
      <c r="M2" s="709"/>
      <c r="N2" s="146"/>
      <c r="O2" s="669" t="s">
        <v>317</v>
      </c>
      <c r="P2" s="669"/>
      <c r="Q2" s="248" t="s">
        <v>318</v>
      </c>
      <c r="R2" s="245" t="e">
        <f>H_ESM_REV_NO</f>
        <v>#NAME?</v>
      </c>
      <c r="S2" s="248" t="s">
        <v>319</v>
      </c>
      <c r="T2" s="320"/>
      <c r="U2" s="254"/>
    </row>
    <row r="3" spans="1:21" s="42" customFormat="1" ht="13.5" customHeight="1" thickBot="1" x14ac:dyDescent="0.2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710"/>
      <c r="L3" s="710"/>
      <c r="M3" s="710"/>
      <c r="N3" s="145"/>
      <c r="O3" s="245"/>
      <c r="P3" s="245"/>
      <c r="Q3" s="245"/>
      <c r="R3" s="81"/>
      <c r="S3" s="81"/>
      <c r="T3" s="149" t="s">
        <v>320</v>
      </c>
      <c r="U3" s="150"/>
    </row>
    <row r="4" spans="1:21" s="42" customFormat="1" ht="13.5" customHeight="1" x14ac:dyDescent="0.2">
      <c r="A4" s="144"/>
      <c r="B4" s="145"/>
      <c r="C4" s="151"/>
      <c r="D4" s="669" t="s">
        <v>321</v>
      </c>
      <c r="E4" s="669"/>
      <c r="F4" s="248" t="s">
        <v>318</v>
      </c>
      <c r="G4" s="670" t="e">
        <f>H_ENGINE_TYPE</f>
        <v>#NAME?</v>
      </c>
      <c r="H4" s="670"/>
      <c r="I4" s="245"/>
      <c r="J4" s="145"/>
      <c r="K4" s="711" t="s">
        <v>454</v>
      </c>
      <c r="L4" s="712"/>
      <c r="M4" s="713"/>
      <c r="N4" s="145"/>
      <c r="O4" s="669" t="s">
        <v>322</v>
      </c>
      <c r="P4" s="669"/>
      <c r="Q4" s="248" t="s">
        <v>318</v>
      </c>
      <c r="R4" s="670" t="e">
        <f>H_TEST_NAME</f>
        <v>#NAME?</v>
      </c>
      <c r="S4" s="670"/>
      <c r="T4" s="145"/>
      <c r="U4" s="150"/>
    </row>
    <row r="5" spans="1:21" s="42" customFormat="1" ht="13.5" customHeight="1" thickBot="1" x14ac:dyDescent="0.25">
      <c r="A5" s="144"/>
      <c r="B5" s="145"/>
      <c r="C5" s="152"/>
      <c r="D5" s="81"/>
      <c r="E5" s="81"/>
      <c r="F5" s="245"/>
      <c r="G5" s="245"/>
      <c r="H5" s="245"/>
      <c r="I5" s="245"/>
      <c r="J5" s="145"/>
      <c r="K5" s="705" t="s">
        <v>323</v>
      </c>
      <c r="L5" s="706"/>
      <c r="M5" s="707"/>
      <c r="N5" s="145"/>
      <c r="O5" s="245"/>
      <c r="P5" s="245"/>
      <c r="Q5" s="245"/>
      <c r="R5" s="245"/>
      <c r="S5" s="245"/>
      <c r="T5" s="145"/>
      <c r="U5" s="150"/>
    </row>
    <row r="6" spans="1:21" s="42" customFormat="1" ht="13.5" customHeight="1" x14ac:dyDescent="0.2">
      <c r="A6" s="144"/>
      <c r="B6" s="145"/>
      <c r="C6" s="151"/>
      <c r="D6" s="669" t="s">
        <v>324</v>
      </c>
      <c r="E6" s="669"/>
      <c r="F6" s="248" t="s">
        <v>318</v>
      </c>
      <c r="G6" s="670" t="e">
        <f>H_CUSTOMER_NAME</f>
        <v>#NAME?</v>
      </c>
      <c r="H6" s="670"/>
      <c r="I6" s="245"/>
      <c r="J6" s="145"/>
      <c r="K6" s="145"/>
      <c r="L6" s="145"/>
      <c r="M6" s="145"/>
      <c r="N6" s="145"/>
      <c r="O6" s="669" t="s">
        <v>325</v>
      </c>
      <c r="P6" s="669"/>
      <c r="Q6" s="248" t="s">
        <v>318</v>
      </c>
      <c r="R6" s="670" t="e">
        <f>H_OIL_TYPE</f>
        <v>#NAME?</v>
      </c>
      <c r="S6" s="670"/>
      <c r="T6" s="145"/>
      <c r="U6" s="150"/>
    </row>
    <row r="7" spans="1:21" s="42" customFormat="1" ht="13.5" customHeight="1" x14ac:dyDescent="0.2">
      <c r="A7" s="144"/>
      <c r="B7" s="145"/>
      <c r="C7" s="152"/>
      <c r="D7" s="81"/>
      <c r="E7" s="81"/>
      <c r="F7" s="245"/>
      <c r="G7" s="245"/>
      <c r="H7" s="245"/>
      <c r="I7" s="245"/>
      <c r="J7" s="145"/>
      <c r="K7" s="145"/>
      <c r="L7" s="145"/>
      <c r="M7" s="145"/>
      <c r="N7" s="145"/>
      <c r="O7" s="245"/>
      <c r="P7" s="245"/>
      <c r="Q7" s="245"/>
      <c r="R7" s="245"/>
      <c r="S7" s="245"/>
      <c r="T7" s="145"/>
      <c r="U7" s="150"/>
    </row>
    <row r="8" spans="1:21" s="42" customFormat="1" ht="13.5" customHeight="1" x14ac:dyDescent="0.2">
      <c r="A8" s="144"/>
      <c r="B8" s="145"/>
      <c r="C8" s="151"/>
      <c r="D8" s="669" t="s">
        <v>326</v>
      </c>
      <c r="E8" s="669"/>
      <c r="F8" s="248" t="s">
        <v>318</v>
      </c>
      <c r="G8" s="670" t="e">
        <f>H_ENGINE_SERIAL_NO</f>
        <v>#NAME?</v>
      </c>
      <c r="H8" s="670"/>
      <c r="I8" s="245"/>
      <c r="J8" s="145"/>
      <c r="K8" s="145"/>
      <c r="L8" s="145"/>
      <c r="M8" s="145"/>
      <c r="N8" s="145"/>
      <c r="O8" s="669" t="s">
        <v>327</v>
      </c>
      <c r="P8" s="669"/>
      <c r="Q8" s="248" t="s">
        <v>318</v>
      </c>
      <c r="R8" s="670" t="e">
        <f>H_ECU_SOFT</f>
        <v>#NAME?</v>
      </c>
      <c r="S8" s="670"/>
      <c r="T8" s="145"/>
      <c r="U8" s="150"/>
    </row>
    <row r="9" spans="1:21" s="42" customFormat="1" ht="13.5" customHeight="1" x14ac:dyDescent="0.2">
      <c r="A9" s="144"/>
      <c r="B9" s="145"/>
      <c r="C9" s="152"/>
      <c r="D9" s="81"/>
      <c r="E9" s="81"/>
      <c r="F9" s="245"/>
      <c r="G9" s="245"/>
      <c r="H9" s="245"/>
      <c r="I9" s="245"/>
      <c r="J9" s="145"/>
      <c r="K9" s="145"/>
      <c r="L9" s="145"/>
      <c r="M9" s="145"/>
      <c r="N9" s="145"/>
      <c r="O9" s="245"/>
      <c r="P9" s="245"/>
      <c r="Q9" s="245"/>
      <c r="R9" s="245"/>
      <c r="S9" s="245"/>
      <c r="T9" s="145"/>
      <c r="U9" s="150"/>
    </row>
    <row r="10" spans="1:21" s="42" customFormat="1" ht="13.5" customHeight="1" x14ac:dyDescent="0.2">
      <c r="A10" s="144"/>
      <c r="B10" s="145"/>
      <c r="C10" s="151"/>
      <c r="D10" s="669" t="s">
        <v>504</v>
      </c>
      <c r="E10" s="669"/>
      <c r="F10" s="303" t="s">
        <v>318</v>
      </c>
      <c r="G10" s="670" t="e">
        <f>H_ENG_QUALITY_REPAIR</f>
        <v>#NAME?</v>
      </c>
      <c r="H10" s="670"/>
      <c r="I10" s="670"/>
      <c r="J10" s="145"/>
      <c r="K10" s="145"/>
      <c r="L10" s="145"/>
      <c r="M10" s="145"/>
      <c r="N10" s="145"/>
      <c r="O10" s="669" t="s">
        <v>328</v>
      </c>
      <c r="P10" s="669"/>
      <c r="Q10" s="248" t="s">
        <v>318</v>
      </c>
      <c r="R10" s="670" t="e">
        <f>H_EXHAUST_NOZZLE</f>
        <v>#NAME?</v>
      </c>
      <c r="S10" s="670"/>
      <c r="T10" s="145"/>
      <c r="U10" s="150"/>
    </row>
    <row r="11" spans="1:21" s="42" customFormat="1" ht="13.5" customHeight="1" x14ac:dyDescent="0.2">
      <c r="A11" s="144"/>
      <c r="B11" s="145"/>
      <c r="C11" s="151"/>
      <c r="D11" s="81"/>
      <c r="E11" s="81"/>
      <c r="F11" s="245"/>
      <c r="G11" s="245"/>
      <c r="H11" s="245"/>
      <c r="I11" s="245"/>
      <c r="J11" s="145"/>
      <c r="K11" s="145"/>
      <c r="L11" s="145"/>
      <c r="M11" s="145"/>
      <c r="N11" s="145"/>
      <c r="O11" s="245"/>
      <c r="P11" s="245"/>
      <c r="Q11" s="245"/>
      <c r="R11" s="245"/>
      <c r="S11" s="245"/>
      <c r="T11" s="145"/>
      <c r="U11" s="150"/>
    </row>
    <row r="12" spans="1:21" s="42" customFormat="1" ht="13.5" customHeight="1" x14ac:dyDescent="0.2">
      <c r="A12" s="144"/>
      <c r="B12" s="145"/>
      <c r="C12" s="151"/>
      <c r="D12" s="669" t="s">
        <v>329</v>
      </c>
      <c r="E12" s="669"/>
      <c r="F12" s="248" t="s">
        <v>318</v>
      </c>
      <c r="G12" s="670" t="e">
        <f>H_TEST_TYPE</f>
        <v>#NAME?</v>
      </c>
      <c r="H12" s="670"/>
      <c r="I12" s="670"/>
      <c r="J12" s="145"/>
      <c r="K12" s="145"/>
      <c r="L12" s="145"/>
      <c r="M12" s="145"/>
      <c r="N12" s="145"/>
      <c r="O12" s="669" t="s">
        <v>330</v>
      </c>
      <c r="P12" s="669"/>
      <c r="Q12" s="248" t="s">
        <v>318</v>
      </c>
      <c r="R12" s="704" t="e">
        <f>H_TEST_DATE</f>
        <v>#NAME?</v>
      </c>
      <c r="S12" s="704"/>
      <c r="T12" s="145"/>
      <c r="U12" s="150"/>
    </row>
    <row r="13" spans="1:21" s="42" customFormat="1" ht="13.5" customHeight="1" thickBot="1" x14ac:dyDescent="0.25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5"/>
    </row>
    <row r="14" spans="1:21" s="42" customFormat="1" ht="13.5" thickTop="1" x14ac:dyDescent="0.2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</row>
    <row r="15" spans="1:21" s="42" customFormat="1" ht="16.5" customHeight="1" x14ac:dyDescent="0.25">
      <c r="A15" s="145"/>
      <c r="B15" s="674"/>
      <c r="C15" s="674"/>
      <c r="D15" s="674"/>
      <c r="E15" s="674"/>
      <c r="F15" s="674"/>
      <c r="G15" s="674"/>
      <c r="H15" s="698" t="s">
        <v>572</v>
      </c>
      <c r="I15" s="699"/>
      <c r="J15" s="700" t="s">
        <v>573</v>
      </c>
      <c r="K15" s="699"/>
      <c r="L15" s="700" t="s">
        <v>571</v>
      </c>
      <c r="M15" s="699"/>
      <c r="N15" s="700" t="s">
        <v>487</v>
      </c>
      <c r="O15" s="699"/>
      <c r="P15" s="700" t="s">
        <v>571</v>
      </c>
      <c r="Q15" s="698"/>
      <c r="R15" s="699"/>
      <c r="S15" s="700" t="s">
        <v>487</v>
      </c>
      <c r="T15" s="698"/>
      <c r="U15" s="246"/>
    </row>
    <row r="16" spans="1:21" s="42" customFormat="1" ht="12.75" customHeight="1" x14ac:dyDescent="0.25">
      <c r="A16" s="145"/>
      <c r="B16" s="300"/>
      <c r="C16" s="300"/>
      <c r="D16" s="300"/>
      <c r="E16" s="300"/>
      <c r="F16" s="300"/>
      <c r="G16" s="300"/>
      <c r="H16" s="674"/>
      <c r="I16" s="690"/>
      <c r="J16" s="689"/>
      <c r="K16" s="690"/>
      <c r="L16" s="689" t="e" cm="1">
        <f t="array" ref="L16" xml:space="preserve"> VLOOKUP(C_Engine_Rating S_MAX_CONT_B1, enum_list!$A$2:$F$102,3,1)</f>
        <v>#NAME?</v>
      </c>
      <c r="M16" s="690"/>
      <c r="N16" s="689" t="e" cm="1">
        <f t="array" ref="N16" xml:space="preserve"> VLOOKUP(C_Engine_Rating S_Take_Off_B1, enum_list!$A$2:$F$102,3,1)</f>
        <v>#NAME?</v>
      </c>
      <c r="O16" s="690"/>
      <c r="P16" s="701" t="e" cm="1">
        <f t="array" ref="P16">IF('RATINGS QUESTION'!$K$5="YES","N/A",VLOOKUP(C_Engine_Rating S_MAX_CONT_B2, enum_list!$A$2:$F$102,3,1))</f>
        <v>#NAME?</v>
      </c>
      <c r="Q16" s="702"/>
      <c r="R16" s="703"/>
      <c r="S16" s="689" t="e" cm="1">
        <f t="array" ref="S16">IF('RATINGS QUESTION'!$K$5="YES","N/A",VLOOKUP(C_Engine_Rating S_Take_Off_B2, enum_list!$A$2:$F$102,3,1))</f>
        <v>#NAME?</v>
      </c>
      <c r="T16" s="674"/>
      <c r="U16" s="294"/>
    </row>
    <row r="17" spans="1:21" s="42" customFormat="1" ht="12.75" customHeight="1" thickBot="1" x14ac:dyDescent="0.3">
      <c r="A17" s="145"/>
      <c r="B17" s="301"/>
      <c r="C17" s="301"/>
      <c r="D17" s="301"/>
      <c r="E17" s="301"/>
      <c r="F17" s="301"/>
      <c r="G17" s="301"/>
      <c r="H17" s="294"/>
      <c r="I17" s="296"/>
      <c r="J17" s="295"/>
      <c r="K17" s="296"/>
      <c r="L17" s="295"/>
      <c r="M17" s="296"/>
      <c r="N17" s="295"/>
      <c r="O17" s="296"/>
      <c r="P17" s="295"/>
      <c r="Q17" s="294"/>
      <c r="R17" s="296"/>
      <c r="S17" s="295"/>
      <c r="T17" s="294"/>
      <c r="U17" s="294"/>
    </row>
    <row r="18" spans="1:21" s="42" customFormat="1" ht="16.5" thickBot="1" x14ac:dyDescent="0.25">
      <c r="A18" s="145"/>
      <c r="B18" s="691" t="s">
        <v>575</v>
      </c>
      <c r="C18" s="692"/>
      <c r="D18" s="692"/>
      <c r="E18" s="692"/>
      <c r="F18" s="692"/>
      <c r="G18" s="693"/>
      <c r="H18" s="689"/>
      <c r="I18" s="690"/>
      <c r="J18" s="689"/>
      <c r="K18" s="690"/>
      <c r="L18" s="689"/>
      <c r="M18" s="690"/>
      <c r="N18" s="689"/>
      <c r="O18" s="690"/>
      <c r="P18" s="695"/>
      <c r="Q18" s="696"/>
      <c r="R18" s="697"/>
      <c r="S18" s="689"/>
      <c r="T18" s="674"/>
      <c r="U18" s="145"/>
    </row>
    <row r="19" spans="1:21" s="42" customFormat="1" ht="12.75" customHeight="1" x14ac:dyDescent="0.2">
      <c r="A19" s="145"/>
      <c r="B19" s="145"/>
      <c r="C19" s="162"/>
      <c r="D19" s="162"/>
      <c r="E19" s="162"/>
      <c r="F19" s="162"/>
      <c r="G19" s="162"/>
      <c r="H19" s="163"/>
      <c r="I19" s="145"/>
      <c r="J19" s="160"/>
      <c r="K19" s="161"/>
      <c r="L19" s="160"/>
      <c r="M19" s="161"/>
      <c r="N19" s="160"/>
      <c r="O19" s="161"/>
      <c r="P19" s="160"/>
      <c r="Q19" s="145"/>
      <c r="R19" s="161"/>
      <c r="S19" s="145"/>
      <c r="U19" s="145"/>
    </row>
    <row r="20" spans="1:21" s="42" customFormat="1" ht="12.75" customHeight="1" x14ac:dyDescent="0.2">
      <c r="A20" s="145"/>
      <c r="B20" s="145"/>
      <c r="C20" s="164" t="s">
        <v>32</v>
      </c>
      <c r="D20" s="162"/>
      <c r="E20" s="243" t="s">
        <v>331</v>
      </c>
      <c r="F20" s="162"/>
      <c r="G20" s="162"/>
      <c r="H20" s="685" t="e" cm="1">
        <f t="array" ref="H20">IF(C_N1R S_Perf_GI,C_N1R S_Perf_GI,"")</f>
        <v>#NAME?</v>
      </c>
      <c r="I20" s="686"/>
      <c r="J20" s="685" t="e" cm="1">
        <f t="array" ref="J20">IF(C_N1R S_Perf_AI,C_N1R S_Perf_AI,"")</f>
        <v>#NAME?</v>
      </c>
      <c r="K20" s="686"/>
      <c r="L20" s="685" t="e" cm="1">
        <f t="array" ref="L20">IF(C_N1R  S_MAX_CONT_B1,C_N1R  S_MAX_CONT_B1,"")</f>
        <v>#NAME?</v>
      </c>
      <c r="M20" s="686"/>
      <c r="N20" s="685" t="e" cm="1">
        <f t="array" ref="N20">IF(C_N1R  S_Take_Off_B1,C_N1R  S_Take_Off_B1,"")</f>
        <v>#NAME?</v>
      </c>
      <c r="O20" s="686"/>
      <c r="P20" s="685" t="e" cm="1">
        <f t="array" ref="P20">IF('RATINGS QUESTION'!$K$5="YES","N/A", IF(C_N1R S_MAX_CONT_B2,C_N1R S_MAX_CONT_B2,""))</f>
        <v>#NAME?</v>
      </c>
      <c r="Q20" s="687"/>
      <c r="R20" s="686"/>
      <c r="S20" s="685" t="e" cm="1">
        <f t="array" ref="S20">IF('RATINGS QUESTION'!$K$5="YES","N/A", IF(C_N1R S_Take_Off_B2,C_N1R S_Take_Off_B2,""))</f>
        <v>#NAME?</v>
      </c>
      <c r="T20" s="687"/>
      <c r="U20" s="145"/>
    </row>
    <row r="21" spans="1:21" s="42" customFormat="1" ht="12.75" customHeight="1" x14ac:dyDescent="0.2">
      <c r="A21" s="145"/>
      <c r="B21" s="145"/>
      <c r="C21" s="164" t="s">
        <v>31</v>
      </c>
      <c r="D21" s="162"/>
      <c r="E21" s="243" t="s">
        <v>331</v>
      </c>
      <c r="F21" s="162"/>
      <c r="G21" s="162"/>
      <c r="H21" s="694" t="s">
        <v>1</v>
      </c>
      <c r="I21" s="686"/>
      <c r="J21" s="694" t="s">
        <v>1</v>
      </c>
      <c r="K21" s="686"/>
      <c r="L21" s="685" t="e" cm="1">
        <f t="array" ref="L21">IF(C_N1K  S_MAX_CONT_B1,C_N1K  S_MAX_CONT_B1,"")</f>
        <v>#NAME?</v>
      </c>
      <c r="M21" s="686"/>
      <c r="N21" s="685" t="e" cm="1">
        <f t="array" ref="N21">IF(C_N1K  S_Take_Off_B1,C_N1K  S_Take_Off_B1,"")</f>
        <v>#NAME?</v>
      </c>
      <c r="O21" s="686"/>
      <c r="P21" s="685" t="e" cm="1">
        <f t="array" ref="P21">IF('RATINGS QUESTION'!$K$5="YES","N/A", IF(C_N1K S_MAX_CONT_B2,C_N1K S_MAX_CONT_B2,""))</f>
        <v>#NAME?</v>
      </c>
      <c r="Q21" s="687"/>
      <c r="R21" s="686"/>
      <c r="S21" s="685" t="e" cm="1">
        <f t="array" ref="S21">IF('RATINGS QUESTION'!$K$5="YES","N/A", IF(C_N1K S_Take_Off_B2,C_N1K S_Take_Off_B2,""))</f>
        <v>#NAME?</v>
      </c>
      <c r="T21" s="687"/>
      <c r="U21" s="145"/>
    </row>
    <row r="22" spans="1:21" s="42" customFormat="1" x14ac:dyDescent="0.2">
      <c r="A22" s="145"/>
      <c r="B22" s="145"/>
      <c r="C22" s="164" t="s">
        <v>35</v>
      </c>
      <c r="D22" s="164"/>
      <c r="E22" s="243" t="s">
        <v>331</v>
      </c>
      <c r="F22" s="243"/>
      <c r="G22" s="145"/>
      <c r="H22" s="694" t="s">
        <v>1</v>
      </c>
      <c r="I22" s="686"/>
      <c r="J22" s="694" t="s">
        <v>1</v>
      </c>
      <c r="K22" s="686"/>
      <c r="L22" s="685" t="e" cm="1">
        <f t="array" ref="L22">IF(C_N2K  S_MAX_CONT_B1,C_N2K  S_MAX_CONT_B1,"")</f>
        <v>#NAME?</v>
      </c>
      <c r="M22" s="686"/>
      <c r="N22" s="685" t="e" cm="1">
        <f t="array" ref="N22">IF(C_N2K  S_Take_Off_B1,C_N2K  S_Take_Off_B1,"")</f>
        <v>#NAME?</v>
      </c>
      <c r="O22" s="686"/>
      <c r="P22" s="685" t="e" cm="1">
        <f t="array" ref="P22">IF('RATINGS QUESTION'!$K$5="YES","N/A", IF(C_N2K S_MAX_CONT_B2,C_N2K S_MAX_CONT_B2,""))</f>
        <v>#NAME?</v>
      </c>
      <c r="Q22" s="687"/>
      <c r="R22" s="686"/>
      <c r="S22" s="685" t="e" cm="1">
        <f t="array" ref="S22">IF('RATINGS QUESTION'!$K$5="YES","N/A", IF(C_N2K S_Take_Off_B2,C_N2K S_Take_Off_B2,""))</f>
        <v>#NAME?</v>
      </c>
      <c r="T22" s="687"/>
      <c r="U22" s="145"/>
    </row>
    <row r="23" spans="1:21" s="42" customFormat="1" x14ac:dyDescent="0.2">
      <c r="A23" s="145"/>
      <c r="B23" s="145"/>
      <c r="C23" s="164" t="s">
        <v>16</v>
      </c>
      <c r="D23" s="164"/>
      <c r="E23" s="243" t="s">
        <v>332</v>
      </c>
      <c r="F23" s="243"/>
      <c r="G23" s="145"/>
      <c r="H23" s="694" t="s">
        <v>1</v>
      </c>
      <c r="I23" s="686"/>
      <c r="J23" s="694" t="s">
        <v>1</v>
      </c>
      <c r="K23" s="686"/>
      <c r="L23" s="685" t="e" cm="1">
        <f t="array" ref="L23">IF(C_FNK  S_MAX_CONT_B1,C_FNK  S_MAX_CONT_B1,"")</f>
        <v>#NAME?</v>
      </c>
      <c r="M23" s="686"/>
      <c r="N23" s="685" t="e" cm="1">
        <f t="array" ref="N23">IF(C_FNK  S_Take_Off_B1,C_FNK  S_Take_Off_B1,"")</f>
        <v>#NAME?</v>
      </c>
      <c r="O23" s="686"/>
      <c r="P23" s="685" t="e" cm="1">
        <f t="array" ref="P23">IF('RATINGS QUESTION'!$K$5="YES","N/A", IF(C_FNK S_MAX_CONT_B2,C_FNK S_MAX_CONT_B2,""))</f>
        <v>#NAME?</v>
      </c>
      <c r="Q23" s="687"/>
      <c r="R23" s="686"/>
      <c r="S23" s="685" t="e" cm="1">
        <f t="array" ref="S23">IF('RATINGS QUESTION'!$K$5="YES","N/A", IF(C_FNK S_Take_Off_B2,C_FNK S_Take_Off_B2,""))</f>
        <v>#NAME?</v>
      </c>
      <c r="T23" s="687"/>
      <c r="U23" s="145"/>
    </row>
    <row r="24" spans="1:21" s="42" customFormat="1" x14ac:dyDescent="0.2">
      <c r="A24" s="145"/>
      <c r="B24" s="145"/>
      <c r="C24" s="164" t="s">
        <v>6</v>
      </c>
      <c r="D24" s="164"/>
      <c r="E24" s="243" t="s">
        <v>333</v>
      </c>
      <c r="F24" s="243"/>
      <c r="G24" s="145"/>
      <c r="H24" s="683" t="s">
        <v>1</v>
      </c>
      <c r="I24" s="684"/>
      <c r="J24" s="683" t="s">
        <v>1</v>
      </c>
      <c r="K24" s="684"/>
      <c r="L24" s="685" t="e" cm="1">
        <f t="array" ref="L24">IF(C_EGTK  S_MAX_CONT_B1,C_EGTK  S_MAX_CONT_B1,"")</f>
        <v>#NAME?</v>
      </c>
      <c r="M24" s="686"/>
      <c r="N24" s="685" t="e" cm="1">
        <f t="array" ref="N24">IF(C_EGTK  S_Take_Off_B1,C_EGTK  S_Take_Off_B1,"")</f>
        <v>#NAME?</v>
      </c>
      <c r="O24" s="686"/>
      <c r="P24" s="685" t="e" cm="1">
        <f t="array" ref="P24">IF('RATINGS QUESTION'!$K$5="YES","N/A", IF(C_EGTK S_MAX_CONT_B2,C_EGTK S_MAX_CONT_B2,""))</f>
        <v>#NAME?</v>
      </c>
      <c r="Q24" s="687"/>
      <c r="R24" s="686"/>
      <c r="S24" s="685" t="e" cm="1">
        <f t="array" ref="S24">IF('RATINGS QUESTION'!$K$5="YES","N/A", IF(C_EGTK S_Take_Off_B2,C_EGTK S_Take_Off_B2,""))</f>
        <v>#NAME?</v>
      </c>
      <c r="T24" s="687"/>
      <c r="U24" s="145"/>
    </row>
    <row r="25" spans="1:21" s="42" customFormat="1" x14ac:dyDescent="0.2">
      <c r="A25" s="145"/>
      <c r="B25" s="145"/>
      <c r="C25" s="164" t="s">
        <v>77</v>
      </c>
      <c r="D25" s="164"/>
      <c r="E25" s="243" t="s">
        <v>358</v>
      </c>
      <c r="F25" s="243"/>
      <c r="G25" s="145"/>
      <c r="H25" s="683" t="s">
        <v>1</v>
      </c>
      <c r="I25" s="684"/>
      <c r="J25" s="683" t="s">
        <v>1</v>
      </c>
      <c r="K25" s="684"/>
      <c r="L25" s="685" t="e" cm="1">
        <f t="array" ref="L25">IF(C_WFK  S_MAX_CONT_B1,C_WFK  S_MAX_CONT_B1,"")</f>
        <v>#NAME?</v>
      </c>
      <c r="M25" s="686"/>
      <c r="N25" s="685" t="e" cm="1">
        <f t="array" ref="N25">IF(C_WFK  S_Take_Off_B1,C_WFK  S_Take_Off_B1,"")</f>
        <v>#NAME?</v>
      </c>
      <c r="O25" s="686"/>
      <c r="P25" s="685" t="e" cm="1">
        <f t="array" ref="P25">IF('RATINGS QUESTION'!$K$5="YES","N/A", IF(C_WFK S_MAX_CONT_B2,C_WFK S_MAX_CONT_B2,""))</f>
        <v>#NAME?</v>
      </c>
      <c r="Q25" s="687"/>
      <c r="R25" s="686"/>
      <c r="S25" s="685" t="e" cm="1">
        <f t="array" ref="S25">IF('RATINGS QUESTION'!$K$5="YES","N/A", IF(C_WFK S_Take_Off_B2,C_WFK S_Take_Off_B2,""))</f>
        <v>#NAME?</v>
      </c>
      <c r="T25" s="687"/>
      <c r="U25" s="145"/>
    </row>
    <row r="26" spans="1:21" s="42" customFormat="1" x14ac:dyDescent="0.2">
      <c r="A26" s="145"/>
      <c r="B26" s="145"/>
      <c r="C26" s="164" t="s">
        <v>247</v>
      </c>
      <c r="D26" s="164"/>
      <c r="E26" s="243" t="s">
        <v>334</v>
      </c>
      <c r="F26" s="243"/>
      <c r="G26" s="145"/>
      <c r="H26" s="683" t="s">
        <v>1</v>
      </c>
      <c r="I26" s="684"/>
      <c r="J26" s="683" t="s">
        <v>1</v>
      </c>
      <c r="K26" s="684"/>
      <c r="L26" s="685" t="e" cm="1">
        <f t="array" ref="L26">IF(C_SFCK3  S_MAX_CONT_B1,C_SFCK3  S_MAX_CONT_B1,"")</f>
        <v>#NAME?</v>
      </c>
      <c r="M26" s="686"/>
      <c r="N26" s="685" t="e" cm="1">
        <f t="array" ref="N26">IF(C_SFCK3  S_Take_Off_B1,C_SFCK3  S_Take_Off_B1,"")</f>
        <v>#NAME?</v>
      </c>
      <c r="O26" s="686"/>
      <c r="P26" s="685" t="e" cm="1">
        <f t="array" ref="P26">IF('RATINGS QUESTION'!$K$5="YES","N/A", IF(C_SFCK3 S_MAX_CONT_B2,C_SFCK3 S_MAX_CONT_B2,""))</f>
        <v>#NAME?</v>
      </c>
      <c r="Q26" s="687"/>
      <c r="R26" s="686"/>
      <c r="S26" s="685" t="e" cm="1">
        <f t="array" ref="S26">IF('RATINGS QUESTION'!$K$5="YES","N/A", IF(C_SFCK3 S_Take_Off_B2,C_SFCK3 S_Take_Off_B2,""))</f>
        <v>#NAME?</v>
      </c>
      <c r="T26" s="687"/>
      <c r="U26" s="145"/>
    </row>
    <row r="27" spans="1:21" s="42" customFormat="1" x14ac:dyDescent="0.2">
      <c r="A27" s="145"/>
      <c r="B27" s="145"/>
      <c r="C27" s="164" t="s">
        <v>335</v>
      </c>
      <c r="D27" s="164"/>
      <c r="E27" s="305" t="s">
        <v>3</v>
      </c>
      <c r="F27" s="243"/>
      <c r="G27" s="145"/>
      <c r="H27" s="685" t="s">
        <v>1</v>
      </c>
      <c r="I27" s="686"/>
      <c r="J27" s="685" t="s">
        <v>1</v>
      </c>
      <c r="K27" s="686"/>
      <c r="L27" s="685" t="e" cm="1">
        <f t="array" ref="L27">IF(C_FNMrgPC  S_MAX_CONT_B1,C_FNMrgPC  S_MAX_CONT_B1,"")</f>
        <v>#NAME?</v>
      </c>
      <c r="M27" s="686"/>
      <c r="N27" s="685" t="e" cm="1">
        <f t="array" ref="N27">IF(C_FNMrgPC  S_Take_Off_B1,C_FNMrgPC  S_Take_Off_B1,"")</f>
        <v>#NAME?</v>
      </c>
      <c r="O27" s="686"/>
      <c r="P27" s="685" t="e" cm="1">
        <f t="array" ref="P27">IF('RATINGS QUESTION'!$K$5="YES","N/A", IF(C_FNMrgPC S_MAX_CONT_B2,C_FNMrgPC S_MAX_CONT_B2,""))</f>
        <v>#NAME?</v>
      </c>
      <c r="Q27" s="687"/>
      <c r="R27" s="686"/>
      <c r="S27" s="685" t="e" cm="1">
        <f t="array" ref="S27">IF('RATINGS QUESTION'!$K$5="YES","N/A", IF(C_FNMrgPC S_Take_Off_B2,C_FNMrgPC S_Take_Off_B2,""))</f>
        <v>#NAME?</v>
      </c>
      <c r="T27" s="687"/>
      <c r="U27" s="145"/>
    </row>
    <row r="28" spans="1:21" s="42" customFormat="1" x14ac:dyDescent="0.2">
      <c r="A28" s="145"/>
      <c r="B28" s="145"/>
      <c r="C28" s="164" t="s">
        <v>336</v>
      </c>
      <c r="D28" s="164"/>
      <c r="E28" s="243" t="s">
        <v>332</v>
      </c>
      <c r="F28" s="243"/>
      <c r="G28" s="145"/>
      <c r="H28" s="685" t="s">
        <v>1</v>
      </c>
      <c r="I28" s="686"/>
      <c r="J28" s="685" t="s">
        <v>1</v>
      </c>
      <c r="K28" s="686"/>
      <c r="L28" s="685" t="e" cm="1">
        <f t="array" ref="L28">IF(C_FNKRatedMC  S_MAX_CONT_B1,C_FNKRatedMC  S_MAX_CONT_B1,"")</f>
        <v>#NAME?</v>
      </c>
      <c r="M28" s="686"/>
      <c r="N28" s="685" t="e" cm="1">
        <f t="array" ref="N28">IF(C_FNKRatedTO  S_Take_Off_B1,C_FNKRatedTO  S_Take_Off_B1,"")</f>
        <v>#NAME?</v>
      </c>
      <c r="O28" s="686"/>
      <c r="P28" s="685" t="e" cm="1">
        <f t="array" ref="P28">IF('RATINGS QUESTION'!$K$5="YES","N/A", IF(C_FNKRatedMC S_MAX_CONT_B2,C_FNKRatedMC S_MAX_CONT_B2,""))</f>
        <v>#NAME?</v>
      </c>
      <c r="Q28" s="687"/>
      <c r="R28" s="686"/>
      <c r="S28" s="685" t="e" cm="1">
        <f t="array" ref="S28">IF('RATINGS QUESTION'!$K$5="YES","N/A", IF(C_FNKRatedTO S_Take_Off_B2,C_FNKRatedTO S_Take_Off_B2,""))</f>
        <v>#NAME?</v>
      </c>
      <c r="T28" s="687"/>
      <c r="U28" s="145"/>
    </row>
    <row r="29" spans="1:21" s="42" customFormat="1" ht="13.5" thickBot="1" x14ac:dyDescent="0.25">
      <c r="A29" s="145"/>
      <c r="B29" s="145"/>
      <c r="C29" s="164"/>
      <c r="D29" s="164"/>
      <c r="E29" s="243"/>
      <c r="F29" s="243"/>
      <c r="G29" s="145"/>
      <c r="H29" s="160"/>
      <c r="I29" s="145"/>
      <c r="J29" s="160"/>
      <c r="K29" s="161"/>
      <c r="L29" s="160"/>
      <c r="M29" s="161"/>
      <c r="N29" s="689"/>
      <c r="O29" s="690"/>
      <c r="P29" s="160"/>
      <c r="Q29" s="145"/>
      <c r="R29" s="161"/>
      <c r="S29" s="247"/>
      <c r="U29" s="145"/>
    </row>
    <row r="30" spans="1:21" s="42" customFormat="1" ht="16.5" thickBot="1" x14ac:dyDescent="0.25">
      <c r="A30" s="145"/>
      <c r="B30" s="691" t="s">
        <v>576</v>
      </c>
      <c r="C30" s="692"/>
      <c r="D30" s="692"/>
      <c r="E30" s="692"/>
      <c r="F30" s="692"/>
      <c r="G30" s="693"/>
      <c r="H30" s="159"/>
      <c r="I30" s="145"/>
      <c r="J30" s="160"/>
      <c r="K30" s="161"/>
      <c r="L30" s="160"/>
      <c r="M30" s="161"/>
      <c r="N30" s="689"/>
      <c r="O30" s="690"/>
      <c r="P30" s="160"/>
      <c r="Q30" s="145"/>
      <c r="R30" s="161"/>
      <c r="S30" s="247"/>
      <c r="U30" s="145"/>
    </row>
    <row r="31" spans="1:21" s="42" customFormat="1" ht="12.75" customHeight="1" x14ac:dyDescent="0.2">
      <c r="A31" s="145"/>
      <c r="B31" s="145"/>
      <c r="C31" s="162"/>
      <c r="D31" s="162"/>
      <c r="E31" s="162"/>
      <c r="F31" s="162"/>
      <c r="G31" s="162"/>
      <c r="H31" s="163"/>
      <c r="I31" s="145"/>
      <c r="J31" s="160"/>
      <c r="K31" s="161"/>
      <c r="L31" s="160"/>
      <c r="M31" s="161"/>
      <c r="N31" s="689"/>
      <c r="O31" s="690"/>
      <c r="P31" s="160"/>
      <c r="Q31" s="145"/>
      <c r="R31" s="161"/>
      <c r="S31" s="247"/>
      <c r="U31" s="145"/>
    </row>
    <row r="32" spans="1:21" s="42" customFormat="1" x14ac:dyDescent="0.2">
      <c r="A32" s="145"/>
      <c r="B32" s="145"/>
      <c r="C32" s="164" t="s">
        <v>172</v>
      </c>
      <c r="D32" s="164"/>
      <c r="E32" s="243" t="s">
        <v>331</v>
      </c>
      <c r="F32" s="243"/>
      <c r="G32" s="145"/>
      <c r="H32" s="685" t="s">
        <v>1</v>
      </c>
      <c r="I32" s="686"/>
      <c r="J32" s="685" t="s">
        <v>1</v>
      </c>
      <c r="K32" s="686"/>
      <c r="L32" s="685" t="e" cm="1">
        <f t="array" ref="L32">IF(C_N2R2HD S_MAX_CONT_B1,C_N2R2HD S_MAX_CONT_B1,"")</f>
        <v>#NAME?</v>
      </c>
      <c r="M32" s="686"/>
      <c r="N32" s="685" t="e" cm="1">
        <f t="array" ref="N32">IF(C_N2R2HD S_Take_Off_B1,C_N2R2HD S_Take_Off_B1,"")</f>
        <v>#NAME?</v>
      </c>
      <c r="O32" s="686"/>
      <c r="P32" s="685" t="e" cm="1">
        <f t="array" ref="P32">IF('RATINGS QUESTION'!$K$5="YES","N/A",IF(C_N2R2HD S_MAX_CONT_B2,C_N2R2HD S_MAX_CONT_B2,""))</f>
        <v>#NAME?</v>
      </c>
      <c r="Q32" s="687"/>
      <c r="R32" s="686"/>
      <c r="S32" s="685" t="e" cm="1">
        <f t="array" ref="S32">IF('RATINGS QUESTION'!$K$5="YES","N/A", IF(C_N2R2HD S_Take_Off_B2,C_N2R2HD S_Take_Off_B2,""))</f>
        <v>#NAME?</v>
      </c>
      <c r="T32" s="687"/>
      <c r="U32" s="145"/>
    </row>
    <row r="33" spans="1:21" s="42" customFormat="1" x14ac:dyDescent="0.2">
      <c r="A33" s="145"/>
      <c r="B33" s="145"/>
      <c r="C33" s="164" t="s">
        <v>461</v>
      </c>
      <c r="D33" s="164"/>
      <c r="E33" s="243" t="s">
        <v>3</v>
      </c>
      <c r="F33" s="243"/>
      <c r="G33" s="145"/>
      <c r="H33" s="685" t="s">
        <v>1</v>
      </c>
      <c r="I33" s="686"/>
      <c r="J33" s="685" t="s">
        <v>1</v>
      </c>
      <c r="K33" s="686"/>
      <c r="L33" s="685" t="s">
        <v>1</v>
      </c>
      <c r="M33" s="686"/>
      <c r="N33" s="685" t="e" cm="1">
        <f t="array" ref="N33">IF(C_N2HDMMrg S_Take_Off_B1,C_N2HDMMrg S_Take_Off_B1,"")</f>
        <v>#NAME?</v>
      </c>
      <c r="O33" s="686"/>
      <c r="P33" s="683" t="s">
        <v>1</v>
      </c>
      <c r="Q33" s="688"/>
      <c r="R33" s="684"/>
      <c r="S33" s="685" t="e" cm="1">
        <f t="array" ref="S33">IF('RATINGS QUESTION'!$K$5="YES","N/A", IF(C_N2HDMMrg S_Take_Off_B2,C_N2HDMMrg S_Take_Off_B2,""))</f>
        <v>#NAME?</v>
      </c>
      <c r="T33" s="687"/>
      <c r="U33" s="145"/>
    </row>
    <row r="34" spans="1:21" s="42" customFormat="1" x14ac:dyDescent="0.2">
      <c r="A34" s="145"/>
      <c r="B34" s="145"/>
      <c r="C34" s="164" t="s">
        <v>4</v>
      </c>
      <c r="D34" s="164"/>
      <c r="E34" s="243" t="s">
        <v>333</v>
      </c>
      <c r="F34" s="243"/>
      <c r="G34" s="145"/>
      <c r="H34" s="683" t="s">
        <v>1</v>
      </c>
      <c r="I34" s="684"/>
      <c r="J34" s="683" t="s">
        <v>1</v>
      </c>
      <c r="K34" s="684"/>
      <c r="L34" s="685" t="e" cm="1">
        <f t="array" ref="L34">IF(C_EGTHD  S_MAX_CONT_B1,C_EGTHD  S_MAX_CONT_B1,"")</f>
        <v>#NAME?</v>
      </c>
      <c r="M34" s="686"/>
      <c r="N34" s="685" t="e" cm="1">
        <f t="array" ref="N34">IF(C_EGTHD  S_Take_Off_B1,C_EGTHD  S_Take_Off_B1,"")</f>
        <v>#NAME?</v>
      </c>
      <c r="O34" s="686"/>
      <c r="P34" s="685" t="e" cm="1">
        <f t="array" ref="P34">IF('RATINGS QUESTION'!$K$5="YES","N/A", IF(C_EGTHD S_MAX_CONT_B2,C_EGTHD S_MAX_CONT_B2,""))</f>
        <v>#NAME?</v>
      </c>
      <c r="Q34" s="687"/>
      <c r="R34" s="686"/>
      <c r="S34" s="685" t="e" cm="1">
        <f t="array" ref="S34">IF('RATINGS QUESTION'!$K$5="YES","N/A", IF(C_EGTHD S_Take_Off_B2,C_EGTHD S_Take_Off_B2,""))</f>
        <v>#NAME?</v>
      </c>
      <c r="T34" s="687"/>
      <c r="U34" s="145"/>
    </row>
    <row r="35" spans="1:21" s="42" customFormat="1" ht="13.5" thickBot="1" x14ac:dyDescent="0.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674"/>
      <c r="M35" s="674"/>
      <c r="N35" s="674"/>
      <c r="O35" s="674"/>
      <c r="P35" s="145"/>
      <c r="Q35" s="145"/>
      <c r="R35" s="145"/>
      <c r="S35" s="145"/>
      <c r="T35" s="145"/>
      <c r="U35" s="145"/>
    </row>
    <row r="36" spans="1:21" s="42" customFormat="1" ht="16.5" customHeight="1" thickBot="1" x14ac:dyDescent="0.25">
      <c r="A36" s="167"/>
      <c r="B36" s="681" t="s">
        <v>337</v>
      </c>
      <c r="C36" s="681"/>
      <c r="D36" s="681"/>
      <c r="E36" s="681"/>
      <c r="F36" s="681"/>
      <c r="G36" s="681"/>
      <c r="H36" s="681"/>
      <c r="I36" s="681"/>
      <c r="J36" s="681"/>
      <c r="K36" s="681"/>
      <c r="L36" s="682" t="s">
        <v>338</v>
      </c>
      <c r="M36" s="682"/>
      <c r="N36" s="682"/>
      <c r="O36" s="682"/>
      <c r="P36" s="682" t="s">
        <v>261</v>
      </c>
      <c r="Q36" s="682"/>
      <c r="R36" s="682"/>
      <c r="S36" s="682"/>
      <c r="T36" s="682"/>
      <c r="U36" s="168"/>
    </row>
    <row r="37" spans="1:21" s="42" customFormat="1" ht="13.5" thickBot="1" x14ac:dyDescent="0.25">
      <c r="A37" s="145"/>
      <c r="B37" s="145"/>
      <c r="C37" s="669"/>
      <c r="D37" s="669"/>
      <c r="E37" s="669"/>
      <c r="F37" s="669"/>
      <c r="G37" s="669"/>
      <c r="H37" s="145"/>
      <c r="I37" s="145"/>
      <c r="J37" s="145"/>
      <c r="K37" s="161"/>
      <c r="L37" s="160"/>
      <c r="M37" s="169" t="e" cm="1">
        <f t="array" ref="M37">IF(C_tAcc1 S_Acceleration_TO,C_tAcc1 S_Acceleration_TO,"")</f>
        <v>#NAME?</v>
      </c>
      <c r="N37" s="170" t="s">
        <v>339</v>
      </c>
      <c r="O37" s="171"/>
      <c r="P37" s="160"/>
      <c r="Q37" s="145"/>
      <c r="R37" s="35">
        <v>5</v>
      </c>
      <c r="S37" s="170" t="s">
        <v>339</v>
      </c>
      <c r="T37" s="81"/>
      <c r="U37" s="81"/>
    </row>
    <row r="38" spans="1:21" s="42" customFormat="1" ht="16.5" customHeight="1" thickBot="1" x14ac:dyDescent="0.25">
      <c r="A38" s="172"/>
      <c r="B38" s="681" t="s">
        <v>340</v>
      </c>
      <c r="C38" s="681"/>
      <c r="D38" s="681"/>
      <c r="E38" s="681"/>
      <c r="F38" s="681"/>
      <c r="G38" s="681"/>
      <c r="H38" s="681"/>
      <c r="I38" s="681"/>
      <c r="J38" s="681"/>
      <c r="K38" s="681"/>
      <c r="L38" s="682" t="s">
        <v>338</v>
      </c>
      <c r="M38" s="682"/>
      <c r="N38" s="682"/>
      <c r="O38" s="682"/>
      <c r="P38" s="682" t="s">
        <v>261</v>
      </c>
      <c r="Q38" s="682"/>
      <c r="R38" s="682"/>
      <c r="S38" s="682"/>
      <c r="T38" s="682"/>
      <c r="U38" s="168"/>
    </row>
    <row r="39" spans="1:21" s="42" customFormat="1" x14ac:dyDescent="0.2">
      <c r="A39" s="145"/>
      <c r="B39" s="145"/>
      <c r="C39" s="145"/>
      <c r="D39" s="145"/>
      <c r="E39" s="249" t="s">
        <v>341</v>
      </c>
      <c r="F39" s="249"/>
      <c r="G39" s="249"/>
      <c r="H39" s="151" t="s">
        <v>342</v>
      </c>
      <c r="I39" s="173"/>
      <c r="J39" s="164" t="s">
        <v>430</v>
      </c>
      <c r="K39" s="145"/>
      <c r="L39" s="160"/>
      <c r="M39" s="169" t="e">
        <f>MAX(C_Vib1N1Pk S_Vib_Survey_Acc,C_Vib1N1PkD S_Vib_Survey_Dec)</f>
        <v>#NAME?</v>
      </c>
      <c r="N39" s="170" t="s">
        <v>263</v>
      </c>
      <c r="O39" s="174"/>
      <c r="P39" s="160"/>
      <c r="Q39" s="145"/>
      <c r="R39" s="233">
        <v>4</v>
      </c>
      <c r="S39" s="170" t="s">
        <v>584</v>
      </c>
      <c r="T39" s="170"/>
      <c r="U39" s="170"/>
    </row>
    <row r="40" spans="1:21" s="42" customFormat="1" x14ac:dyDescent="0.2">
      <c r="A40" s="145"/>
      <c r="B40" s="145"/>
      <c r="C40" s="145"/>
      <c r="D40" s="145"/>
      <c r="E40" s="164"/>
      <c r="F40" s="164"/>
      <c r="G40" s="164"/>
      <c r="H40" s="151" t="s">
        <v>342</v>
      </c>
      <c r="I40" s="173"/>
      <c r="J40" s="164" t="s">
        <v>428</v>
      </c>
      <c r="K40" s="145"/>
      <c r="L40" s="160"/>
      <c r="M40" s="169" t="e">
        <f>MAX(C_Vib2N1Pk S_Vib_Survey_Acc,C_Vib2N1PkD S_Vib_Survey_Dec)</f>
        <v>#NAME?</v>
      </c>
      <c r="N40" s="170" t="s">
        <v>263</v>
      </c>
      <c r="O40" s="174"/>
      <c r="P40" s="160"/>
      <c r="Q40" s="145"/>
      <c r="R40" s="233">
        <v>4</v>
      </c>
      <c r="S40" s="170" t="s">
        <v>584</v>
      </c>
      <c r="T40" s="170"/>
      <c r="U40" s="170"/>
    </row>
    <row r="41" spans="1:21" s="42" customFormat="1" x14ac:dyDescent="0.2">
      <c r="A41" s="145"/>
      <c r="B41" s="145"/>
      <c r="C41" s="145"/>
      <c r="D41" s="145"/>
      <c r="E41" s="249" t="s">
        <v>343</v>
      </c>
      <c r="F41" s="164"/>
      <c r="G41" s="164"/>
      <c r="H41" s="151" t="s">
        <v>342</v>
      </c>
      <c r="I41" s="145"/>
      <c r="J41" s="164" t="s">
        <v>431</v>
      </c>
      <c r="K41" s="145"/>
      <c r="L41" s="160"/>
      <c r="M41" s="169" t="e">
        <f>MAX(C_Vib1N2Pk S_Vib_Survey_Acc,C_Vib1N2PkD S_Vib_Survey_Dec)</f>
        <v>#NAME?</v>
      </c>
      <c r="N41" s="170" t="s">
        <v>72</v>
      </c>
      <c r="O41" s="174"/>
      <c r="P41" s="160"/>
      <c r="Q41" s="145"/>
      <c r="R41" s="234">
        <v>1.6</v>
      </c>
      <c r="S41" s="170" t="s">
        <v>72</v>
      </c>
      <c r="T41" s="170"/>
      <c r="U41" s="170"/>
    </row>
    <row r="42" spans="1:21" s="42" customFormat="1" ht="13.5" thickBot="1" x14ac:dyDescent="0.25">
      <c r="A42" s="145"/>
      <c r="B42" s="166"/>
      <c r="C42" s="166"/>
      <c r="D42" s="166"/>
      <c r="E42" s="175"/>
      <c r="F42" s="175"/>
      <c r="G42" s="175"/>
      <c r="H42" s="176" t="s">
        <v>342</v>
      </c>
      <c r="I42" s="177"/>
      <c r="J42" s="178" t="s">
        <v>429</v>
      </c>
      <c r="K42" s="179"/>
      <c r="L42" s="180"/>
      <c r="M42" s="181" t="e">
        <f>MAX(C_Vib2N2Pk S_Vib_Survey_Acc,C_Vib2N2PkD S_Vib_Survey_Dec)</f>
        <v>#NAME?</v>
      </c>
      <c r="N42" s="182" t="s">
        <v>72</v>
      </c>
      <c r="O42" s="183"/>
      <c r="P42" s="180"/>
      <c r="Q42" s="166"/>
      <c r="R42" s="235">
        <v>1.6</v>
      </c>
      <c r="S42" s="182" t="s">
        <v>72</v>
      </c>
      <c r="T42" s="182"/>
      <c r="U42" s="170"/>
    </row>
    <row r="43" spans="1:21" s="42" customFormat="1" x14ac:dyDescent="0.2">
      <c r="A43" s="145"/>
      <c r="B43" s="145"/>
      <c r="C43" s="675" t="s">
        <v>344</v>
      </c>
      <c r="D43" s="675"/>
      <c r="E43" s="675"/>
      <c r="F43" s="675"/>
      <c r="G43" s="675"/>
      <c r="H43" s="675"/>
      <c r="I43" s="675"/>
      <c r="J43" s="675"/>
      <c r="K43" s="676"/>
      <c r="L43" s="184"/>
      <c r="M43" s="185" t="e" cm="1">
        <f t="array" ref="M43">IF(C_PoilC S_Perf_GI,C_PoilC S_Perf_GI,"")</f>
        <v>#NAME?</v>
      </c>
      <c r="N43" s="186" t="s">
        <v>26</v>
      </c>
      <c r="O43" s="187"/>
      <c r="P43" s="184"/>
      <c r="Q43" s="145"/>
      <c r="R43" s="232" t="s">
        <v>460</v>
      </c>
      <c r="S43" s="186" t="s">
        <v>26</v>
      </c>
      <c r="T43" s="188"/>
      <c r="U43" s="145"/>
    </row>
    <row r="44" spans="1:21" s="42" customFormat="1" x14ac:dyDescent="0.2">
      <c r="A44" s="145"/>
      <c r="B44" s="145"/>
      <c r="C44" s="677" t="s">
        <v>345</v>
      </c>
      <c r="D44" s="677"/>
      <c r="E44" s="677"/>
      <c r="F44" s="677"/>
      <c r="G44" s="677"/>
      <c r="H44" s="677"/>
      <c r="I44" s="677"/>
      <c r="J44" s="677"/>
      <c r="K44" s="678"/>
      <c r="L44" s="160"/>
      <c r="M44" s="185" t="e" cm="1">
        <f t="array" ref="M44">IF(C_PoilC S_Take_Off_B1,C_PoilC S_Take_Off_B1,"")</f>
        <v>#NAME?</v>
      </c>
      <c r="N44" s="170" t="s">
        <v>26</v>
      </c>
      <c r="O44" s="161"/>
      <c r="P44" s="160"/>
      <c r="Q44" s="145"/>
      <c r="R44" s="189" t="s">
        <v>346</v>
      </c>
      <c r="S44" s="170" t="s">
        <v>26</v>
      </c>
      <c r="T44" s="145"/>
      <c r="U44" s="145"/>
    </row>
    <row r="45" spans="1:21" s="145" customFormat="1" ht="12.75" customHeight="1" thickBot="1" x14ac:dyDescent="0.25">
      <c r="B45" s="166"/>
      <c r="C45" s="679" t="s">
        <v>210</v>
      </c>
      <c r="D45" s="679"/>
      <c r="E45" s="679"/>
      <c r="F45" s="679"/>
      <c r="G45" s="679"/>
      <c r="H45" s="679"/>
      <c r="I45" s="679"/>
      <c r="J45" s="679"/>
      <c r="K45" s="679"/>
      <c r="L45" s="180"/>
      <c r="M45" s="321" t="e" cm="1">
        <f t="array" ref="M45">IF(C_OilCSRate S_OilConsumption1,C_OilCSRate S_OilConsumption1,"")</f>
        <v>#NAME?</v>
      </c>
      <c r="N45" s="253" t="s">
        <v>347</v>
      </c>
      <c r="O45" s="179"/>
      <c r="P45" s="166"/>
      <c r="Q45" s="166"/>
      <c r="R45" s="240">
        <v>0.56999999999999995</v>
      </c>
      <c r="S45" s="182" t="s">
        <v>347</v>
      </c>
      <c r="T45" s="166"/>
    </row>
    <row r="46" spans="1:21" s="145" customFormat="1" ht="12.75" customHeight="1" x14ac:dyDescent="0.2">
      <c r="C46" s="250"/>
      <c r="D46" s="250"/>
      <c r="E46" s="250"/>
      <c r="F46" s="250"/>
      <c r="G46" s="250"/>
      <c r="H46" s="250"/>
      <c r="I46" s="250"/>
      <c r="J46" s="250"/>
      <c r="K46" s="250"/>
      <c r="M46" s="170"/>
      <c r="N46" s="170"/>
      <c r="R46" s="207"/>
      <c r="S46" s="170"/>
    </row>
    <row r="47" spans="1:21" s="42" customFormat="1" ht="18" x14ac:dyDescent="0.2">
      <c r="A47" s="145"/>
      <c r="B47" s="145"/>
      <c r="C47" s="669" t="s">
        <v>348</v>
      </c>
      <c r="D47" s="669"/>
      <c r="E47" s="669"/>
      <c r="F47" s="244"/>
      <c r="G47" s="164" t="s">
        <v>349</v>
      </c>
      <c r="H47" s="191" t="s">
        <v>350</v>
      </c>
      <c r="I47" s="151"/>
      <c r="J47" s="151" t="s">
        <v>569</v>
      </c>
      <c r="K47" s="151"/>
      <c r="L47" s="151"/>
      <c r="M47" s="193"/>
      <c r="N47" s="193"/>
      <c r="O47" s="680"/>
      <c r="P47" s="680"/>
      <c r="Q47" s="251"/>
      <c r="R47" s="192"/>
      <c r="S47" s="194"/>
      <c r="T47" s="145"/>
      <c r="U47" s="145"/>
    </row>
    <row r="48" spans="1:21" s="42" customFormat="1" ht="18" x14ac:dyDescent="0.2">
      <c r="A48" s="145"/>
      <c r="B48" s="145"/>
      <c r="C48" s="145"/>
      <c r="D48" s="145"/>
      <c r="E48" s="145"/>
      <c r="F48" s="145"/>
      <c r="G48" s="164" t="s">
        <v>351</v>
      </c>
      <c r="H48" s="191" t="s">
        <v>350</v>
      </c>
      <c r="I48" s="191"/>
      <c r="J48" s="474"/>
      <c r="K48" s="194"/>
      <c r="L48" s="193"/>
      <c r="M48" s="196"/>
      <c r="N48" s="196"/>
      <c r="O48" s="197"/>
      <c r="P48" s="198"/>
      <c r="Q48" s="198"/>
      <c r="R48" s="198"/>
      <c r="S48" s="195"/>
      <c r="T48" s="145"/>
      <c r="U48" s="145"/>
    </row>
    <row r="49" spans="1:21" s="42" customFormat="1" ht="12.75" customHeight="1" x14ac:dyDescent="0.2">
      <c r="A49" s="145"/>
      <c r="B49" s="145"/>
      <c r="C49" s="145"/>
      <c r="D49" s="145"/>
      <c r="E49" s="145"/>
      <c r="F49" s="145"/>
      <c r="G49" s="248"/>
      <c r="H49" s="248"/>
      <c r="I49" s="151"/>
      <c r="J49" s="252"/>
      <c r="K49" s="252"/>
      <c r="L49" s="252"/>
      <c r="M49" s="249"/>
      <c r="N49" s="249"/>
      <c r="O49" s="151"/>
      <c r="P49" s="145"/>
      <c r="Q49" s="145"/>
      <c r="R49" s="164"/>
      <c r="S49" s="145"/>
      <c r="T49" s="145"/>
      <c r="U49" s="145"/>
    </row>
    <row r="50" spans="1:21" s="42" customFormat="1" ht="12.75" customHeight="1" x14ac:dyDescent="0.2">
      <c r="A50" s="145"/>
      <c r="B50" s="145"/>
      <c r="C50" s="145"/>
      <c r="D50" s="145"/>
      <c r="E50" s="145"/>
      <c r="F50" s="145"/>
      <c r="G50" s="303"/>
      <c r="H50" s="303"/>
      <c r="I50" s="151"/>
      <c r="J50" s="302"/>
      <c r="K50" s="302"/>
      <c r="L50" s="302"/>
      <c r="M50" s="304"/>
      <c r="N50" s="304"/>
      <c r="O50" s="151"/>
      <c r="P50" s="145"/>
      <c r="Q50" s="145"/>
      <c r="R50" s="164"/>
      <c r="S50" s="145"/>
      <c r="T50" s="145"/>
      <c r="U50" s="145"/>
    </row>
    <row r="51" spans="1:21" s="42" customFormat="1" ht="12.75" customHeight="1" x14ac:dyDescent="0.2">
      <c r="A51" s="145"/>
      <c r="B51" s="145"/>
      <c r="C51" s="145"/>
      <c r="D51" s="145"/>
      <c r="E51" s="145"/>
      <c r="F51" s="145"/>
      <c r="G51" s="469"/>
      <c r="H51" s="469"/>
      <c r="I51" s="151"/>
      <c r="J51" s="471"/>
      <c r="K51" s="471"/>
      <c r="L51" s="471"/>
      <c r="M51" s="470"/>
      <c r="N51" s="470"/>
      <c r="O51" s="151"/>
      <c r="P51" s="145"/>
      <c r="Q51" s="145"/>
      <c r="R51" s="164"/>
      <c r="S51" s="145"/>
      <c r="T51" s="145"/>
      <c r="U51" s="145"/>
    </row>
    <row r="52" spans="1:21" s="42" customFormat="1" ht="12.75" customHeight="1" x14ac:dyDescent="0.2">
      <c r="A52" s="145"/>
      <c r="B52" s="145"/>
      <c r="C52" s="145"/>
      <c r="D52" s="145"/>
      <c r="E52" s="145"/>
      <c r="F52" s="145"/>
      <c r="G52" s="316"/>
      <c r="H52" s="316"/>
      <c r="I52" s="151"/>
      <c r="J52" s="318"/>
      <c r="K52" s="318"/>
      <c r="L52" s="318"/>
      <c r="M52" s="317"/>
      <c r="N52" s="317"/>
      <c r="O52" s="151"/>
      <c r="P52" s="145"/>
      <c r="Q52" s="145"/>
      <c r="R52" s="164"/>
      <c r="S52" s="145"/>
      <c r="T52" s="145"/>
      <c r="U52" s="145"/>
    </row>
    <row r="53" spans="1:21" s="42" customFormat="1" ht="12.75" customHeight="1" x14ac:dyDescent="0.2">
      <c r="A53" s="145"/>
      <c r="B53" s="145"/>
      <c r="C53" s="145"/>
      <c r="D53" s="145"/>
      <c r="E53" s="145"/>
      <c r="F53" s="145"/>
      <c r="G53" s="309"/>
      <c r="H53" s="309"/>
      <c r="I53" s="151"/>
      <c r="J53" s="311"/>
      <c r="K53" s="311"/>
      <c r="L53" s="311"/>
      <c r="M53" s="310"/>
      <c r="N53" s="310"/>
      <c r="O53" s="151"/>
      <c r="P53" s="145"/>
      <c r="Q53" s="145"/>
      <c r="R53" s="164"/>
      <c r="S53" s="145"/>
      <c r="T53" s="145"/>
      <c r="U53" s="145"/>
    </row>
    <row r="54" spans="1:21" s="42" customFormat="1" ht="12.75" customHeight="1" x14ac:dyDescent="0.2">
      <c r="A54" s="145"/>
      <c r="B54" s="145"/>
      <c r="C54" s="145"/>
      <c r="D54" s="145"/>
      <c r="E54" s="145"/>
      <c r="F54" s="145"/>
      <c r="G54" s="303"/>
      <c r="H54" s="303"/>
      <c r="I54" s="151"/>
      <c r="J54" s="302"/>
      <c r="K54" s="302"/>
      <c r="L54" s="302"/>
      <c r="M54" s="304"/>
      <c r="N54" s="304"/>
      <c r="O54" s="151"/>
      <c r="P54" s="145"/>
      <c r="Q54" s="145"/>
      <c r="R54" s="164"/>
      <c r="S54" s="145"/>
      <c r="T54" s="145"/>
      <c r="U54" s="145"/>
    </row>
    <row r="55" spans="1:21" s="42" customFormat="1" ht="12.75" customHeight="1" x14ac:dyDescent="0.2">
      <c r="A55" s="145"/>
      <c r="B55" s="145"/>
      <c r="C55" s="145"/>
      <c r="D55" s="145"/>
      <c r="E55" s="145"/>
      <c r="F55" s="145"/>
      <c r="G55" s="671" t="s">
        <v>352</v>
      </c>
      <c r="H55" s="671"/>
      <c r="I55" s="192"/>
      <c r="J55" s="193"/>
      <c r="K55" s="193"/>
      <c r="L55" s="193"/>
      <c r="M55" s="672" t="s">
        <v>353</v>
      </c>
      <c r="N55" s="672"/>
      <c r="O55" s="151"/>
      <c r="P55" s="145"/>
      <c r="Q55" s="145"/>
      <c r="R55" s="164"/>
      <c r="S55" s="145"/>
      <c r="T55" s="145"/>
      <c r="U55" s="145"/>
    </row>
    <row r="56" spans="1:21" s="42" customFormat="1" ht="12.75" customHeight="1" x14ac:dyDescent="0.2">
      <c r="A56" s="145"/>
      <c r="B56" s="204"/>
      <c r="C56" s="236"/>
      <c r="D56" s="145"/>
      <c r="E56" s="145"/>
      <c r="F56" s="145"/>
      <c r="G56" s="671"/>
      <c r="H56" s="671"/>
      <c r="I56" s="241"/>
      <c r="J56" s="242"/>
      <c r="K56" s="242"/>
      <c r="L56" s="242"/>
      <c r="M56" s="672"/>
      <c r="N56" s="672"/>
      <c r="O56" s="151"/>
      <c r="P56" s="145"/>
      <c r="Q56" s="145"/>
      <c r="R56" s="164"/>
      <c r="S56" s="145"/>
      <c r="T56" s="145"/>
      <c r="U56" s="145"/>
    </row>
    <row r="57" spans="1:21" s="42" customFormat="1" ht="12.75" customHeight="1" thickBot="1" x14ac:dyDescent="0.25">
      <c r="A57" s="145"/>
      <c r="B57" s="204"/>
      <c r="C57" s="236"/>
      <c r="D57" s="164"/>
      <c r="E57" s="145"/>
      <c r="F57" s="145"/>
      <c r="G57" s="252"/>
      <c r="H57" s="252"/>
      <c r="I57" s="252"/>
      <c r="J57" s="200"/>
      <c r="K57" s="200"/>
      <c r="L57" s="164"/>
      <c r="M57" s="252"/>
      <c r="N57" s="252"/>
      <c r="O57" s="145"/>
      <c r="P57" s="145"/>
      <c r="Q57" s="145"/>
      <c r="R57" s="145"/>
      <c r="S57" s="145"/>
      <c r="T57" s="673" t="s">
        <v>455</v>
      </c>
      <c r="U57" s="673"/>
    </row>
    <row r="58" spans="1:21" s="42" customFormat="1" ht="18" customHeight="1" thickTop="1" x14ac:dyDescent="0.25">
      <c r="A58" s="141"/>
      <c r="B58" s="142"/>
      <c r="C58" s="142"/>
      <c r="D58" s="142"/>
      <c r="E58" s="142"/>
      <c r="F58" s="142"/>
      <c r="G58" s="142"/>
      <c r="H58" s="142"/>
      <c r="I58" s="142"/>
      <c r="J58" s="708" t="s">
        <v>316</v>
      </c>
      <c r="K58" s="708"/>
      <c r="L58" s="708"/>
      <c r="M58" s="708"/>
      <c r="N58" s="708"/>
      <c r="O58" s="142"/>
      <c r="P58" s="142"/>
      <c r="Q58" s="142"/>
      <c r="R58" s="142"/>
      <c r="S58" s="142"/>
      <c r="T58" s="142"/>
      <c r="U58" s="143"/>
    </row>
    <row r="59" spans="1:21" s="42" customFormat="1" ht="13.5" customHeight="1" x14ac:dyDescent="0.2">
      <c r="A59" s="144"/>
      <c r="B59" s="145"/>
      <c r="C59" s="145"/>
      <c r="D59" s="145"/>
      <c r="E59" s="145"/>
      <c r="F59" s="145"/>
      <c r="G59" s="145"/>
      <c r="H59" s="145"/>
      <c r="I59" s="145"/>
      <c r="J59" s="709" t="s">
        <v>425</v>
      </c>
      <c r="K59" s="709"/>
      <c r="L59" s="709"/>
      <c r="M59" s="709"/>
      <c r="N59" s="709"/>
      <c r="O59" s="151" t="s">
        <v>317</v>
      </c>
      <c r="P59" s="147"/>
      <c r="Q59" s="147" t="s">
        <v>318</v>
      </c>
      <c r="R59" s="148" t="e">
        <f>$R$2</f>
        <v>#NAME?</v>
      </c>
      <c r="S59" s="147" t="s">
        <v>319</v>
      </c>
      <c r="T59" s="319">
        <f>$T$2</f>
        <v>0</v>
      </c>
      <c r="U59" s="150"/>
    </row>
    <row r="60" spans="1:21" s="42" customFormat="1" ht="13.5" customHeight="1" thickBot="1" x14ac:dyDescent="0.25">
      <c r="A60" s="144"/>
      <c r="B60" s="145"/>
      <c r="C60" s="145"/>
      <c r="D60" s="145"/>
      <c r="E60" s="145"/>
      <c r="F60" s="145"/>
      <c r="G60" s="145"/>
      <c r="H60" s="145"/>
      <c r="I60" s="145"/>
      <c r="J60" s="709"/>
      <c r="K60" s="709"/>
      <c r="L60" s="709"/>
      <c r="M60" s="709"/>
      <c r="N60" s="709"/>
      <c r="O60" s="148"/>
      <c r="P60" s="148"/>
      <c r="Q60" s="148"/>
      <c r="R60" s="81"/>
      <c r="S60" s="81"/>
      <c r="T60" s="149" t="s">
        <v>354</v>
      </c>
      <c r="U60" s="150"/>
    </row>
    <row r="61" spans="1:21" s="42" customFormat="1" ht="13.5" customHeight="1" x14ac:dyDescent="0.2">
      <c r="A61" s="144"/>
      <c r="B61" s="145"/>
      <c r="C61" s="151"/>
      <c r="D61" s="151" t="s">
        <v>321</v>
      </c>
      <c r="E61" s="147"/>
      <c r="F61" s="147" t="s">
        <v>318</v>
      </c>
      <c r="G61" s="670" t="e">
        <f>$G$4</f>
        <v>#NAME?</v>
      </c>
      <c r="H61" s="670"/>
      <c r="I61" s="201"/>
      <c r="J61" s="145"/>
      <c r="K61" s="711" t="s">
        <v>454</v>
      </c>
      <c r="L61" s="712"/>
      <c r="M61" s="713"/>
      <c r="N61" s="145"/>
      <c r="O61" s="151" t="s">
        <v>322</v>
      </c>
      <c r="P61" s="147"/>
      <c r="Q61" s="147" t="s">
        <v>318</v>
      </c>
      <c r="R61" s="670" t="e">
        <f>$R$4</f>
        <v>#NAME?</v>
      </c>
      <c r="S61" s="670"/>
      <c r="T61" s="145"/>
      <c r="U61" s="150"/>
    </row>
    <row r="62" spans="1:21" s="42" customFormat="1" ht="13.5" customHeight="1" thickBot="1" x14ac:dyDescent="0.25">
      <c r="A62" s="144"/>
      <c r="B62" s="145"/>
      <c r="C62" s="81"/>
      <c r="D62" s="81"/>
      <c r="E62" s="81"/>
      <c r="F62" s="148"/>
      <c r="G62" s="148"/>
      <c r="H62" s="148"/>
      <c r="I62" s="81"/>
      <c r="J62" s="145"/>
      <c r="K62" s="705" t="s">
        <v>323</v>
      </c>
      <c r="L62" s="706"/>
      <c r="M62" s="707"/>
      <c r="N62" s="145"/>
      <c r="O62" s="148"/>
      <c r="P62" s="148"/>
      <c r="Q62" s="148"/>
      <c r="R62" s="148"/>
      <c r="S62" s="148"/>
      <c r="T62" s="145"/>
      <c r="U62" s="150"/>
    </row>
    <row r="63" spans="1:21" s="42" customFormat="1" ht="13.5" customHeight="1" x14ac:dyDescent="0.2">
      <c r="A63" s="144"/>
      <c r="B63" s="145"/>
      <c r="C63" s="151"/>
      <c r="D63" s="151" t="s">
        <v>324</v>
      </c>
      <c r="E63" s="147"/>
      <c r="F63" s="147" t="s">
        <v>318</v>
      </c>
      <c r="G63" s="670" t="e">
        <f>$G$6</f>
        <v>#NAME?</v>
      </c>
      <c r="H63" s="670"/>
      <c r="I63" s="201"/>
      <c r="J63" s="145"/>
      <c r="K63" s="145"/>
      <c r="L63" s="145"/>
      <c r="M63" s="145"/>
      <c r="N63" s="145"/>
      <c r="O63" s="151" t="s">
        <v>325</v>
      </c>
      <c r="P63" s="147"/>
      <c r="Q63" s="147" t="s">
        <v>318</v>
      </c>
      <c r="R63" s="670" t="e">
        <f>$R$6</f>
        <v>#NAME?</v>
      </c>
      <c r="S63" s="670"/>
      <c r="T63" s="145"/>
      <c r="U63" s="150"/>
    </row>
    <row r="64" spans="1:21" s="42" customFormat="1" ht="13.5" customHeight="1" x14ac:dyDescent="0.2">
      <c r="A64" s="144"/>
      <c r="B64" s="145"/>
      <c r="C64" s="81"/>
      <c r="D64" s="81"/>
      <c r="E64" s="81"/>
      <c r="F64" s="148"/>
      <c r="G64" s="148"/>
      <c r="H64" s="148"/>
      <c r="I64" s="81"/>
      <c r="J64" s="145"/>
      <c r="K64" s="145"/>
      <c r="L64" s="145"/>
      <c r="M64" s="145"/>
      <c r="N64" s="145"/>
      <c r="O64" s="148"/>
      <c r="P64" s="148"/>
      <c r="Q64" s="148"/>
      <c r="R64" s="148"/>
      <c r="S64" s="148"/>
      <c r="T64" s="145"/>
      <c r="U64" s="150"/>
    </row>
    <row r="65" spans="1:21" s="42" customFormat="1" ht="13.5" customHeight="1" x14ac:dyDescent="0.2">
      <c r="A65" s="144"/>
      <c r="B65" s="145"/>
      <c r="C65" s="151"/>
      <c r="D65" s="151" t="s">
        <v>326</v>
      </c>
      <c r="E65" s="147"/>
      <c r="F65" s="147" t="s">
        <v>318</v>
      </c>
      <c r="G65" s="670" t="e">
        <f>$G$8</f>
        <v>#NAME?</v>
      </c>
      <c r="H65" s="670"/>
      <c r="I65" s="201"/>
      <c r="J65" s="145"/>
      <c r="K65" s="145"/>
      <c r="L65" s="145"/>
      <c r="M65" s="145"/>
      <c r="N65" s="145"/>
      <c r="O65" s="151" t="s">
        <v>327</v>
      </c>
      <c r="P65" s="147"/>
      <c r="Q65" s="147" t="s">
        <v>318</v>
      </c>
      <c r="R65" s="670" t="e">
        <f>$R$8</f>
        <v>#NAME?</v>
      </c>
      <c r="S65" s="670"/>
      <c r="T65" s="145"/>
      <c r="U65" s="150"/>
    </row>
    <row r="66" spans="1:21" s="42" customFormat="1" ht="13.5" customHeight="1" x14ac:dyDescent="0.2">
      <c r="A66" s="144"/>
      <c r="B66" s="145"/>
      <c r="C66" s="81"/>
      <c r="D66" s="81"/>
      <c r="E66" s="81"/>
      <c r="F66" s="148"/>
      <c r="G66" s="148"/>
      <c r="H66" s="148"/>
      <c r="I66" s="81"/>
      <c r="J66" s="145"/>
      <c r="K66" s="145"/>
      <c r="L66" s="145"/>
      <c r="M66" s="145"/>
      <c r="N66" s="145"/>
      <c r="O66" s="148"/>
      <c r="P66" s="148"/>
      <c r="Q66" s="148"/>
      <c r="R66" s="148"/>
      <c r="S66" s="148"/>
      <c r="T66" s="145"/>
      <c r="U66" s="150"/>
    </row>
    <row r="67" spans="1:21" s="42" customFormat="1" ht="13.5" customHeight="1" x14ac:dyDescent="0.2">
      <c r="A67" s="144"/>
      <c r="B67" s="145"/>
      <c r="C67" s="151"/>
      <c r="D67" s="669" t="s">
        <v>504</v>
      </c>
      <c r="E67" s="669"/>
      <c r="F67" s="306" t="s">
        <v>318</v>
      </c>
      <c r="G67" s="670" t="e">
        <f>$G$10</f>
        <v>#NAME?</v>
      </c>
      <c r="H67" s="670"/>
      <c r="I67" s="670"/>
      <c r="J67" s="145"/>
      <c r="K67" s="145"/>
      <c r="L67" s="145"/>
      <c r="M67" s="145"/>
      <c r="N67" s="145"/>
      <c r="O67" s="151" t="s">
        <v>328</v>
      </c>
      <c r="P67" s="147"/>
      <c r="Q67" s="147" t="s">
        <v>318</v>
      </c>
      <c r="R67" s="670" t="e">
        <f>$R$10</f>
        <v>#NAME?</v>
      </c>
      <c r="S67" s="670"/>
      <c r="T67" s="145"/>
      <c r="U67" s="150"/>
    </row>
    <row r="68" spans="1:21" s="42" customFormat="1" ht="13.5" customHeight="1" x14ac:dyDescent="0.2">
      <c r="A68" s="144"/>
      <c r="B68" s="145"/>
      <c r="C68" s="81"/>
      <c r="D68" s="81"/>
      <c r="E68" s="81"/>
      <c r="F68" s="148"/>
      <c r="G68" s="148"/>
      <c r="H68" s="148"/>
      <c r="I68" s="81"/>
      <c r="J68" s="145"/>
      <c r="K68" s="145"/>
      <c r="L68" s="145"/>
      <c r="M68" s="145"/>
      <c r="N68" s="145"/>
      <c r="O68" s="148"/>
      <c r="P68" s="148"/>
      <c r="Q68" s="148"/>
      <c r="R68" s="148"/>
      <c r="S68" s="148"/>
      <c r="T68" s="145"/>
      <c r="U68" s="150"/>
    </row>
    <row r="69" spans="1:21" s="42" customFormat="1" ht="13.5" customHeight="1" x14ac:dyDescent="0.2">
      <c r="A69" s="144"/>
      <c r="B69" s="145"/>
      <c r="C69" s="151"/>
      <c r="D69" s="151" t="s">
        <v>329</v>
      </c>
      <c r="E69" s="147"/>
      <c r="F69" s="147" t="s">
        <v>318</v>
      </c>
      <c r="G69" s="202" t="e">
        <f>$G$12</f>
        <v>#NAME?</v>
      </c>
      <c r="H69" s="202"/>
      <c r="I69" s="201"/>
      <c r="J69" s="145"/>
      <c r="K69" s="145"/>
      <c r="L69" s="145"/>
      <c r="M69" s="145"/>
      <c r="N69" s="145"/>
      <c r="O69" s="151" t="s">
        <v>330</v>
      </c>
      <c r="P69" s="147"/>
      <c r="Q69" s="147" t="s">
        <v>318</v>
      </c>
      <c r="R69" s="704" t="e">
        <f>$R$12</f>
        <v>#NAME?</v>
      </c>
      <c r="S69" s="704"/>
      <c r="T69" s="145"/>
      <c r="U69" s="150"/>
    </row>
    <row r="70" spans="1:21" s="42" customFormat="1" ht="13.5" customHeight="1" thickBot="1" x14ac:dyDescent="0.25">
      <c r="A70" s="153"/>
      <c r="B70" s="154"/>
      <c r="C70" s="154"/>
      <c r="D70" s="154"/>
      <c r="E70" s="154"/>
      <c r="F70" s="203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5"/>
    </row>
    <row r="71" spans="1:21" s="42" customFormat="1" ht="12.75" customHeight="1" thickTop="1" x14ac:dyDescent="0.2">
      <c r="A71" s="145"/>
      <c r="B71" s="145"/>
      <c r="C71" s="145"/>
      <c r="D71" s="145"/>
      <c r="E71" s="145"/>
      <c r="F71" s="147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</row>
    <row r="72" spans="1:21" s="42" customFormat="1" ht="16.5" customHeight="1" x14ac:dyDescent="0.25">
      <c r="A72" s="145"/>
      <c r="B72" s="145"/>
      <c r="C72" s="156"/>
      <c r="D72" s="156"/>
      <c r="E72" s="156"/>
      <c r="F72" s="156"/>
      <c r="G72" s="157"/>
      <c r="H72" s="698" t="s">
        <v>572</v>
      </c>
      <c r="I72" s="699"/>
      <c r="J72" s="700" t="s">
        <v>573</v>
      </c>
      <c r="K72" s="699"/>
      <c r="L72" s="700" t="s">
        <v>571</v>
      </c>
      <c r="M72" s="699"/>
      <c r="N72" s="700" t="s">
        <v>487</v>
      </c>
      <c r="O72" s="699"/>
      <c r="P72" s="700" t="s">
        <v>571</v>
      </c>
      <c r="Q72" s="698"/>
      <c r="R72" s="699"/>
      <c r="S72" s="700" t="s">
        <v>487</v>
      </c>
      <c r="T72" s="698"/>
      <c r="U72" s="158"/>
    </row>
    <row r="73" spans="1:21" s="42" customFormat="1" x14ac:dyDescent="0.2">
      <c r="A73" s="145"/>
      <c r="B73" s="145"/>
      <c r="C73" s="145"/>
      <c r="D73" s="145"/>
      <c r="E73" s="145"/>
      <c r="F73" s="145"/>
      <c r="G73" s="204" t="s">
        <v>355</v>
      </c>
      <c r="H73" s="701"/>
      <c r="I73" s="703"/>
      <c r="J73" s="701"/>
      <c r="K73" s="703"/>
      <c r="L73" s="701" t="e" cm="1">
        <f t="array" ref="L73" xml:space="preserve"> VLOOKUP(C_Engine_Rating S_MAX_CONT_B1, enum_list!$A$2:$F$102,3,1)</f>
        <v>#NAME?</v>
      </c>
      <c r="M73" s="703"/>
      <c r="N73" s="701" t="e" cm="1">
        <f t="array" ref="N73" xml:space="preserve"> VLOOKUP(C_Engine_Rating S_Take_Off_B1, enum_list!$A$2:$F$102,3,1)</f>
        <v>#NAME?</v>
      </c>
      <c r="O73" s="703"/>
      <c r="P73" s="701" t="e" cm="1">
        <f t="array" ref="P73">IF('RATINGS QUESTION'!$K$5="YES","N/A",VLOOKUP(C_Engine_Rating S_MAX_CONT_B2, enum_list!$A$2:$F$102,3,1))</f>
        <v>#NAME?</v>
      </c>
      <c r="Q73" s="702"/>
      <c r="R73" s="703"/>
      <c r="S73" s="701" t="e" cm="1">
        <f t="array" ref="S73">IF('RATINGS QUESTION'!$K$5="YES","N/A",VLOOKUP(C_Engine_Rating S_Take_Off_B2, enum_list!$A$2:$F$102,3,1))</f>
        <v>#NAME?</v>
      </c>
      <c r="T73" s="702"/>
      <c r="U73" s="145"/>
    </row>
    <row r="74" spans="1:21" s="42" customFormat="1" x14ac:dyDescent="0.2">
      <c r="A74" s="145"/>
      <c r="B74" s="145"/>
      <c r="C74" s="145"/>
      <c r="D74" s="145"/>
      <c r="E74" s="145"/>
      <c r="F74" s="145"/>
      <c r="G74" s="204" t="s">
        <v>356</v>
      </c>
      <c r="H74" s="718" t="e" cm="1">
        <f t="array" ref="H74">C_DateDays S_Perf_GI</f>
        <v>#NAME?</v>
      </c>
      <c r="I74" s="719"/>
      <c r="J74" s="718" t="e" cm="1">
        <f t="array" ref="J74">C_DateDays S_Perf_AI</f>
        <v>#NAME?</v>
      </c>
      <c r="K74" s="719"/>
      <c r="L74" s="718" t="e" cm="1">
        <f t="array" ref="L74">C_DateDays S_MAX_CONT_B1</f>
        <v>#NAME?</v>
      </c>
      <c r="M74" s="719"/>
      <c r="N74" s="718" t="e" cm="1">
        <f t="array" ref="N74">C_DateDays S_Take_Off_B1</f>
        <v>#NAME?</v>
      </c>
      <c r="O74" s="719"/>
      <c r="P74" s="718" t="e" cm="1">
        <f t="array" ref="P74">IF('RATINGS QUESTION'!$K$5="YES","N/A",C_DateDays S_MAX_CONT_B2)</f>
        <v>#NAME?</v>
      </c>
      <c r="Q74" s="728"/>
      <c r="R74" s="719"/>
      <c r="S74" s="718" t="e" cm="1">
        <f t="array" ref="S74">IF('RATINGS QUESTION'!$K$5="YES","N/A",C_DateDays S_Take_Off_B2)</f>
        <v>#NAME?</v>
      </c>
      <c r="T74" s="728"/>
      <c r="U74" s="145"/>
    </row>
    <row r="75" spans="1:21" s="42" customFormat="1" x14ac:dyDescent="0.2">
      <c r="A75" s="145"/>
      <c r="B75" s="145"/>
      <c r="C75" s="145"/>
      <c r="D75" s="145"/>
      <c r="E75" s="145"/>
      <c r="F75" s="145"/>
      <c r="G75" s="204" t="s">
        <v>357</v>
      </c>
      <c r="H75" s="716" t="e" cm="1">
        <f t="array" ref="H75">C_DateTime S_Perf_GI</f>
        <v>#NAME?</v>
      </c>
      <c r="I75" s="729"/>
      <c r="J75" s="716" t="e" cm="1">
        <f t="array" ref="J75">C_DateTime S_Perf_AI</f>
        <v>#NAME?</v>
      </c>
      <c r="K75" s="729"/>
      <c r="L75" s="716" t="e" cm="1">
        <f t="array" ref="L75">C_DateTime S_MAX_CONT_B1</f>
        <v>#NAME?</v>
      </c>
      <c r="M75" s="729"/>
      <c r="N75" s="716" t="e" cm="1">
        <f t="array" ref="N75">C_DateTime S_Take_Off_B1</f>
        <v>#NAME?</v>
      </c>
      <c r="O75" s="729"/>
      <c r="P75" s="716" t="e" cm="1">
        <f t="array" ref="P75">IF('RATINGS QUESTION'!$K$5="YES","N/A",C_DateTime S_MAX_CONT_B2)</f>
        <v>#NAME?</v>
      </c>
      <c r="Q75" s="717"/>
      <c r="R75" s="729"/>
      <c r="S75" s="716" t="e" cm="1">
        <f t="array" ref="S75">IF('RATINGS QUESTION'!$K$5="YES","N/A",C_DateTime S_Take_Off_B2)</f>
        <v>#NAME?</v>
      </c>
      <c r="T75" s="717"/>
      <c r="U75" s="145"/>
    </row>
    <row r="76" spans="1:21" s="42" customFormat="1" ht="13.5" thickBot="1" x14ac:dyDescent="0.25">
      <c r="A76" s="145"/>
      <c r="B76" s="145"/>
      <c r="C76" s="145"/>
      <c r="D76" s="145"/>
      <c r="E76" s="145"/>
      <c r="F76" s="145"/>
      <c r="G76" s="204"/>
      <c r="H76" s="273"/>
      <c r="I76" s="274"/>
      <c r="J76" s="275"/>
      <c r="K76" s="274"/>
      <c r="L76" s="273"/>
      <c r="M76" s="274"/>
      <c r="N76" s="273"/>
      <c r="O76" s="274"/>
      <c r="P76" s="276"/>
      <c r="Q76" s="201"/>
      <c r="R76" s="277"/>
      <c r="S76" s="273"/>
      <c r="T76" s="275"/>
      <c r="U76" s="145"/>
    </row>
    <row r="77" spans="1:21" s="42" customFormat="1" ht="16.5" customHeight="1" thickBot="1" x14ac:dyDescent="0.25">
      <c r="A77" s="145"/>
      <c r="B77" s="691" t="s">
        <v>462</v>
      </c>
      <c r="C77" s="692"/>
      <c r="D77" s="692"/>
      <c r="E77" s="692"/>
      <c r="F77" s="692"/>
      <c r="G77" s="693"/>
      <c r="H77" s="278"/>
      <c r="I77" s="81"/>
      <c r="J77" s="279"/>
      <c r="K77" s="171"/>
      <c r="L77" s="279"/>
      <c r="M77" s="171"/>
      <c r="N77" s="279"/>
      <c r="O77" s="171"/>
      <c r="P77" s="279"/>
      <c r="Q77" s="81"/>
      <c r="R77" s="171"/>
      <c r="S77" s="81"/>
      <c r="T77" s="263"/>
      <c r="U77" s="145"/>
    </row>
    <row r="78" spans="1:21" s="42" customFormat="1" ht="12.75" customHeight="1" x14ac:dyDescent="0.2">
      <c r="A78" s="145"/>
      <c r="B78" s="145"/>
      <c r="C78" s="162"/>
      <c r="D78" s="162"/>
      <c r="E78" s="162"/>
      <c r="F78" s="162"/>
      <c r="G78" s="162"/>
      <c r="H78" s="280"/>
      <c r="I78" s="81"/>
      <c r="J78" s="279"/>
      <c r="K78" s="171"/>
      <c r="L78" s="279"/>
      <c r="M78" s="171"/>
      <c r="N78" s="279"/>
      <c r="O78" s="171"/>
      <c r="P78" s="279"/>
      <c r="Q78" s="81"/>
      <c r="R78" s="171"/>
      <c r="S78" s="81"/>
      <c r="T78" s="263"/>
      <c r="U78" s="145"/>
    </row>
    <row r="79" spans="1:21" s="42" customFormat="1" x14ac:dyDescent="0.2">
      <c r="A79" s="145"/>
      <c r="B79" s="145"/>
      <c r="C79" s="164" t="s">
        <v>36</v>
      </c>
      <c r="D79" s="164"/>
      <c r="E79" s="229" t="s">
        <v>331</v>
      </c>
      <c r="F79" s="229"/>
      <c r="G79" s="145"/>
      <c r="H79" s="694" t="s">
        <v>1</v>
      </c>
      <c r="I79" s="715"/>
      <c r="J79" s="694" t="s">
        <v>1</v>
      </c>
      <c r="K79" s="715"/>
      <c r="L79" s="685" t="e" cm="1">
        <f t="array" ref="L79">IF(C_N2K3M  S_MAX_CONT_B1,C_N2K3M  S_MAX_CONT_B1,"")</f>
        <v>#NAME?</v>
      </c>
      <c r="M79" s="686"/>
      <c r="N79" s="685" t="e" cm="1">
        <f t="array" ref="N79">IF(C_N2K3M  S_Take_Off_B1,C_N2K3M  S_Take_Off_B1,"")</f>
        <v>#NAME?</v>
      </c>
      <c r="O79" s="686"/>
      <c r="P79" s="685" t="e" cm="1">
        <f t="array" ref="P79">IF('RATINGS QUESTION'!$K$5="YES","N/A", IF(C_N2K3M S_MAX_CONT_B2,C_N2K3M S_MAX_CONT_B2,""))</f>
        <v>#NAME?</v>
      </c>
      <c r="Q79" s="687"/>
      <c r="R79" s="686"/>
      <c r="S79" s="685" t="e" cm="1">
        <f t="array" ref="S79">IF('RATINGS QUESTION'!$K$5="YES","N/A", IF(C_N2K3M S_Take_Off_B2,C_N2K3M S_Take_Off_B2,""))</f>
        <v>#NAME?</v>
      </c>
      <c r="T79" s="687"/>
      <c r="U79" s="145"/>
    </row>
    <row r="80" spans="1:21" s="42" customFormat="1" x14ac:dyDescent="0.2">
      <c r="A80" s="145"/>
      <c r="B80" s="145"/>
      <c r="C80" s="164" t="s">
        <v>18</v>
      </c>
      <c r="D80" s="164"/>
      <c r="E80" s="229" t="s">
        <v>332</v>
      </c>
      <c r="F80" s="229"/>
      <c r="G80" s="145"/>
      <c r="H80" s="694" t="s">
        <v>1</v>
      </c>
      <c r="I80" s="715"/>
      <c r="J80" s="694" t="s">
        <v>1</v>
      </c>
      <c r="K80" s="715"/>
      <c r="L80" s="685" t="e" cm="1">
        <f t="array" ref="L80">IF(C_FNK3M  S_MAX_CONT_B1,C_FNK3M  S_MAX_CONT_B1,"")</f>
        <v>#NAME?</v>
      </c>
      <c r="M80" s="686"/>
      <c r="N80" s="685" t="e" cm="1">
        <f t="array" ref="N80">IF(C_FNK3M  S_Take_Off_B1,C_FNK3M  S_Take_Off_B1,"")</f>
        <v>#NAME?</v>
      </c>
      <c r="O80" s="686"/>
      <c r="P80" s="685" t="e" cm="1">
        <f t="array" ref="P80">IF('RATINGS QUESTION'!$K$5="YES","N/A", IF(C_FNK3M S_MAX_CONT_B2,C_FNK3M S_MAX_CONT_B2,""))</f>
        <v>#NAME?</v>
      </c>
      <c r="Q80" s="687"/>
      <c r="R80" s="686"/>
      <c r="S80" s="685" t="e" cm="1">
        <f t="array" ref="S80">IF('RATINGS QUESTION'!$K$5="YES","N/A", IF(C_FNK3M S_Take_Off_B2,C_FNK3M S_Take_Off_B2,""))</f>
        <v>#NAME?</v>
      </c>
      <c r="T80" s="687"/>
      <c r="U80" s="145"/>
    </row>
    <row r="81" spans="1:21" s="42" customFormat="1" x14ac:dyDescent="0.2">
      <c r="A81" s="145"/>
      <c r="B81" s="145"/>
      <c r="C81" s="164" t="s">
        <v>142</v>
      </c>
      <c r="D81" s="164"/>
      <c r="E81" s="229" t="s">
        <v>333</v>
      </c>
      <c r="F81" s="229"/>
      <c r="G81" s="145"/>
      <c r="H81" s="722" t="s">
        <v>1</v>
      </c>
      <c r="I81" s="723"/>
      <c r="J81" s="722" t="s">
        <v>1</v>
      </c>
      <c r="K81" s="723"/>
      <c r="L81" s="685" t="e" cm="1">
        <f t="array" ref="L81">IF(C_EGTK3M  S_MAX_CONT_B1,C_EGTK3M  S_MAX_CONT_B1,"")</f>
        <v>#NAME?</v>
      </c>
      <c r="M81" s="686"/>
      <c r="N81" s="685" t="e" cm="1">
        <f t="array" ref="N81">IF(C_EGTK3M  S_Take_Off_B1,C_EGTK3M  S_Take_Off_B1,"")</f>
        <v>#NAME?</v>
      </c>
      <c r="O81" s="686"/>
      <c r="P81" s="685" t="e" cm="1">
        <f t="array" ref="P81">IF('RATINGS QUESTION'!$K$5="YES","N/A", IF(C_EGTK3M S_MAX_CONT_B2,C_EGTK3M S_MAX_CONT_B2,""))</f>
        <v>#NAME?</v>
      </c>
      <c r="Q81" s="687"/>
      <c r="R81" s="686"/>
      <c r="S81" s="685" t="e" cm="1">
        <f t="array" ref="S81">IF('RATINGS QUESTION'!$K$5="YES","N/A", IF(C_EGTK3M S_Take_Off_B2,C_EGTK3M S_Take_Off_B2,""))</f>
        <v>#NAME?</v>
      </c>
      <c r="T81" s="687"/>
      <c r="U81" s="145"/>
    </row>
    <row r="82" spans="1:21" s="42" customFormat="1" ht="13.5" thickBot="1" x14ac:dyDescent="0.25">
      <c r="A82" s="145"/>
      <c r="B82" s="145"/>
      <c r="C82" s="164"/>
      <c r="D82" s="164"/>
      <c r="E82" s="229"/>
      <c r="F82" s="229"/>
      <c r="G82" s="145"/>
      <c r="H82" s="279"/>
      <c r="I82" s="81"/>
      <c r="J82" s="279"/>
      <c r="K82" s="171"/>
      <c r="L82" s="279"/>
      <c r="M82" s="171"/>
      <c r="N82" s="701"/>
      <c r="O82" s="703"/>
      <c r="P82" s="279"/>
      <c r="Q82" s="81"/>
      <c r="R82" s="171"/>
      <c r="S82" s="276"/>
      <c r="T82" s="263"/>
      <c r="U82" s="145"/>
    </row>
    <row r="83" spans="1:21" s="42" customFormat="1" ht="16.5" thickBot="1" x14ac:dyDescent="0.25">
      <c r="A83" s="145"/>
      <c r="B83" s="691" t="s">
        <v>463</v>
      </c>
      <c r="C83" s="692"/>
      <c r="D83" s="692"/>
      <c r="E83" s="692"/>
      <c r="F83" s="692"/>
      <c r="G83" s="693"/>
      <c r="H83" s="278"/>
      <c r="I83" s="81"/>
      <c r="J83" s="279"/>
      <c r="K83" s="171"/>
      <c r="L83" s="279"/>
      <c r="M83" s="171"/>
      <c r="N83" s="701"/>
      <c r="O83" s="703"/>
      <c r="P83" s="279"/>
      <c r="Q83" s="81"/>
      <c r="R83" s="171"/>
      <c r="S83" s="276"/>
      <c r="T83" s="263"/>
      <c r="U83" s="145"/>
    </row>
    <row r="84" spans="1:21" s="42" customFormat="1" ht="12.75" customHeight="1" x14ac:dyDescent="0.2">
      <c r="A84" s="145"/>
      <c r="B84" s="145"/>
      <c r="C84" s="162"/>
      <c r="D84" s="162"/>
      <c r="E84" s="162"/>
      <c r="F84" s="162"/>
      <c r="G84" s="162"/>
      <c r="H84" s="280"/>
      <c r="I84" s="81"/>
      <c r="J84" s="279"/>
      <c r="K84" s="171"/>
      <c r="L84" s="279"/>
      <c r="M84" s="171"/>
      <c r="N84" s="701"/>
      <c r="O84" s="703"/>
      <c r="P84" s="279"/>
      <c r="Q84" s="81"/>
      <c r="R84" s="171"/>
      <c r="S84" s="276"/>
      <c r="T84" s="263"/>
      <c r="U84" s="145"/>
    </row>
    <row r="85" spans="1:21" s="42" customFormat="1" ht="12.75" customHeight="1" x14ac:dyDescent="0.2">
      <c r="A85" s="145"/>
      <c r="B85" s="145"/>
      <c r="C85" s="164" t="s">
        <v>532</v>
      </c>
      <c r="D85" s="162"/>
      <c r="E85" s="370" t="s">
        <v>331</v>
      </c>
      <c r="F85" s="162"/>
      <c r="G85" s="162"/>
      <c r="H85" s="694" t="s">
        <v>1</v>
      </c>
      <c r="I85" s="715"/>
      <c r="J85" s="694" t="s">
        <v>1</v>
      </c>
      <c r="K85" s="715"/>
      <c r="L85" s="685" t="e" cm="1">
        <f t="array" ref="L85">IF(C_N1KRM  S_MAX_CONT_B1,C_N1KRM  S_MAX_CONT_B1,"")</f>
        <v>#NAME?</v>
      </c>
      <c r="M85" s="686"/>
      <c r="N85" s="685" t="e" cm="1">
        <f t="array" ref="N85">IF(C_N1KRM  S_Take_Off_B1,C_N1KRM  S_Take_Off_B1,"")</f>
        <v>#NAME?</v>
      </c>
      <c r="O85" s="686"/>
      <c r="P85" s="685" t="e" cm="1">
        <f t="array" ref="P85">IF('RATINGS QUESTION'!$K$5="YES","N/A", IF(C_N1KRM S_MAX_CONT_B2,C_N1KRM S_MAX_CONT_B2,""))</f>
        <v>#NAME?</v>
      </c>
      <c r="Q85" s="687"/>
      <c r="R85" s="686"/>
      <c r="S85" s="685" t="e" cm="1">
        <f t="array" ref="S85">IF('RATINGS QUESTION'!$K$5="YES","N/A", IF(C_N1KRM S_Take_Off_B2,C_N1KRM S_Take_Off_B2,""))</f>
        <v>#NAME?</v>
      </c>
      <c r="T85" s="687"/>
      <c r="U85" s="145"/>
    </row>
    <row r="86" spans="1:21" s="42" customFormat="1" ht="12.75" customHeight="1" x14ac:dyDescent="0.2">
      <c r="A86" s="145"/>
      <c r="B86" s="145"/>
      <c r="C86" s="164" t="s">
        <v>544</v>
      </c>
      <c r="D86" s="162"/>
      <c r="E86" s="370" t="s">
        <v>331</v>
      </c>
      <c r="F86" s="162"/>
      <c r="G86" s="162"/>
      <c r="H86" s="694" t="s">
        <v>1</v>
      </c>
      <c r="I86" s="715"/>
      <c r="J86" s="694" t="s">
        <v>1</v>
      </c>
      <c r="K86" s="715"/>
      <c r="L86" s="685" t="e" cm="1">
        <f t="array" ref="L86">IF(C_N1ModLvl  S_MAX_CONT_B1,C_N1ModLvl  S_MAX_CONT_B1,"")</f>
        <v>#NAME?</v>
      </c>
      <c r="M86" s="686"/>
      <c r="N86" s="685" t="e" cm="1">
        <f t="array" ref="N86">IF(C_N1ModLvl  S_Take_Off_B1,C_N1ModLvl  S_Take_Off_B1,"")</f>
        <v>#NAME?</v>
      </c>
      <c r="O86" s="686"/>
      <c r="P86" s="685" t="e" cm="1">
        <f t="array" ref="P86">IF('RATINGS QUESTION'!$K$5="YES","N/A", IF(C_N1ModLvl S_MAX_CONT_B2,C_N1ModLvl S_MAX_CONT_B2,""))</f>
        <v>#NAME?</v>
      </c>
      <c r="Q86" s="687"/>
      <c r="R86" s="686"/>
      <c r="S86" s="685" t="e" cm="1">
        <f t="array" ref="S86">IF('RATINGS QUESTION'!$K$5="YES","N/A", IF(C_N1ModLvl S_Take_Off_B2,C_N1ModLvl S_Take_Off_B2,""))</f>
        <v>#NAME?</v>
      </c>
      <c r="T86" s="687"/>
      <c r="U86" s="145"/>
    </row>
    <row r="87" spans="1:21" s="42" customFormat="1" x14ac:dyDescent="0.2">
      <c r="A87" s="145"/>
      <c r="B87" s="145"/>
      <c r="C87" s="164" t="s">
        <v>34</v>
      </c>
      <c r="D87" s="164"/>
      <c r="E87" s="229" t="s">
        <v>331</v>
      </c>
      <c r="F87" s="229"/>
      <c r="G87" s="145"/>
      <c r="H87" s="694" t="s">
        <v>1</v>
      </c>
      <c r="I87" s="715"/>
      <c r="J87" s="694" t="s">
        <v>1</v>
      </c>
      <c r="K87" s="715"/>
      <c r="L87" s="685" t="e" cm="1">
        <f t="array" ref="L87">IF(C_N2HDM  S_MAX_CONT_B1,C_N2HDM  S_MAX_CONT_B1,"")</f>
        <v>#NAME?</v>
      </c>
      <c r="M87" s="686"/>
      <c r="N87" s="685" t="e" cm="1">
        <f t="array" ref="N87">IF(C_N2HDM  S_Take_Off_B1,C_N2HDM  S_Take_Off_B1,"")</f>
        <v>#NAME?</v>
      </c>
      <c r="O87" s="686"/>
      <c r="P87" s="685" t="e" cm="1">
        <f t="array" ref="P87">IF('RATINGS QUESTION'!$K$5="YES","N/A", IF(C_N2HDM S_MAX_CONT_B2,C_N2HDM S_MAX_CONT_B2,""))</f>
        <v>#NAME?</v>
      </c>
      <c r="Q87" s="687"/>
      <c r="R87" s="686"/>
      <c r="S87" s="685" t="e" cm="1">
        <f t="array" ref="S87">IF('RATINGS QUESTION'!$K$5="YES","N/A", IF(C_N2HDM S_Take_Off_B2,C_N2HDM S_Take_Off_B2,""))</f>
        <v>#NAME?</v>
      </c>
      <c r="T87" s="687"/>
      <c r="U87" s="145"/>
    </row>
    <row r="88" spans="1:21" s="42" customFormat="1" x14ac:dyDescent="0.2">
      <c r="A88" s="145"/>
      <c r="B88" s="145"/>
      <c r="C88" s="164" t="s">
        <v>5</v>
      </c>
      <c r="D88" s="164"/>
      <c r="E88" s="229" t="s">
        <v>333</v>
      </c>
      <c r="F88" s="229"/>
      <c r="G88" s="145"/>
      <c r="H88" s="722" t="s">
        <v>1</v>
      </c>
      <c r="I88" s="723"/>
      <c r="J88" s="722" t="s">
        <v>1</v>
      </c>
      <c r="K88" s="723"/>
      <c r="L88" s="685" t="e" cm="1">
        <f t="array" ref="L88">IF(C_EGTHDM  S_MAX_CONT_B1,C_EGTHDM  S_MAX_CONT_B1,"")</f>
        <v>#NAME?</v>
      </c>
      <c r="M88" s="686"/>
      <c r="N88" s="685" t="e" cm="1">
        <f t="array" ref="N88">IF(C_EGTHDM  S_Take_Off_B1,C_EGTHDM  S_Take_Off_B1,"")</f>
        <v>#NAME?</v>
      </c>
      <c r="O88" s="686"/>
      <c r="P88" s="685" t="e" cm="1">
        <f t="array" ref="P88">IF('RATINGS QUESTION'!$K$5="YES","N/A", IF(C_EGTHDM S_MAX_CONT_B2,C_EGTHDM S_MAX_CONT_B2,""))</f>
        <v>#NAME?</v>
      </c>
      <c r="Q88" s="687"/>
      <c r="R88" s="686"/>
      <c r="S88" s="685" t="e" cm="1">
        <f t="array" ref="S88">IF('RATINGS QUESTION'!$K$5="YES","N/A", IF(C_EGTHDM S_Take_Off_B2,C_EGTHDM S_Take_Off_B2,""))</f>
        <v>#NAME?</v>
      </c>
      <c r="T88" s="687"/>
      <c r="U88" s="145"/>
    </row>
    <row r="89" spans="1:21" s="42" customFormat="1" x14ac:dyDescent="0.2">
      <c r="A89" s="145"/>
      <c r="B89" s="145"/>
      <c r="C89" s="164" t="s">
        <v>561</v>
      </c>
      <c r="D89" s="164"/>
      <c r="E89" s="229" t="s">
        <v>333</v>
      </c>
      <c r="F89" s="229"/>
      <c r="G89" s="145"/>
      <c r="H89" s="722" t="s">
        <v>1</v>
      </c>
      <c r="I89" s="723"/>
      <c r="J89" s="722" t="s">
        <v>1</v>
      </c>
      <c r="K89" s="723"/>
      <c r="L89" s="685" t="e" cm="1">
        <f t="array" ref="L89">IF(C_EGTHDMMrg  S_MAX_CONT_B1,C_EGTHDMMrg  S_MAX_CONT_B1,"")</f>
        <v>#NAME?</v>
      </c>
      <c r="M89" s="686"/>
      <c r="N89" s="685" t="e" cm="1">
        <f t="array" ref="N89">IF(C_EGTHDMMrg  S_Take_Off_B1,C_EGTHDMMrg  S_Take_Off_B1,"")</f>
        <v>#NAME?</v>
      </c>
      <c r="O89" s="686"/>
      <c r="P89" s="685" t="e" cm="1">
        <f t="array" ref="P89">IF('RATINGS QUESTION'!$K$5="YES","N/A", IF(C_EGTHDMMrg S_MAX_CONT_B2,C_EGTHDMMrg S_MAX_CONT_B2,""))</f>
        <v>#NAME?</v>
      </c>
      <c r="Q89" s="687"/>
      <c r="R89" s="686"/>
      <c r="S89" s="685" t="e" cm="1">
        <f t="array" ref="S89">IF('RATINGS QUESTION'!$K$5="YES","N/A", IF(C_EGTHDMMrg S_Take_Off_B2,C_EGTHDMMrg S_Take_Off_B2,""))</f>
        <v>#NAME?</v>
      </c>
      <c r="T89" s="687"/>
      <c r="U89" s="145"/>
    </row>
    <row r="90" spans="1:21" s="42" customFormat="1" ht="13.5" thickBot="1" x14ac:dyDescent="0.25">
      <c r="A90" s="145"/>
      <c r="B90" s="145"/>
      <c r="C90" s="145"/>
      <c r="D90" s="145"/>
      <c r="E90" s="145"/>
      <c r="F90" s="145"/>
      <c r="G90" s="204"/>
      <c r="H90" s="273"/>
      <c r="I90" s="274"/>
      <c r="J90" s="275"/>
      <c r="K90" s="274"/>
      <c r="L90" s="273"/>
      <c r="M90" s="274"/>
      <c r="N90" s="273"/>
      <c r="O90" s="274"/>
      <c r="P90" s="276"/>
      <c r="Q90" s="201"/>
      <c r="R90" s="277"/>
      <c r="S90" s="273"/>
      <c r="T90" s="275"/>
      <c r="U90" s="145"/>
    </row>
    <row r="91" spans="1:21" s="42" customFormat="1" ht="16.5" customHeight="1" thickBot="1" x14ac:dyDescent="0.25">
      <c r="A91" s="145"/>
      <c r="B91" s="691" t="s">
        <v>359</v>
      </c>
      <c r="C91" s="692"/>
      <c r="D91" s="692"/>
      <c r="E91" s="692"/>
      <c r="F91" s="692"/>
      <c r="G91" s="693"/>
      <c r="H91" s="714"/>
      <c r="I91" s="703"/>
      <c r="J91" s="81"/>
      <c r="K91" s="171"/>
      <c r="L91" s="279"/>
      <c r="M91" s="171"/>
      <c r="N91" s="279"/>
      <c r="O91" s="171"/>
      <c r="P91" s="279"/>
      <c r="Q91" s="81"/>
      <c r="R91" s="171"/>
      <c r="S91" s="279"/>
      <c r="T91" s="81"/>
      <c r="U91" s="145"/>
    </row>
    <row r="92" spans="1:21" s="42" customFormat="1" x14ac:dyDescent="0.2">
      <c r="A92" s="145"/>
      <c r="B92" s="145"/>
      <c r="C92" s="145"/>
      <c r="D92" s="145"/>
      <c r="E92" s="145"/>
      <c r="F92" s="145"/>
      <c r="G92" s="145"/>
      <c r="H92" s="701"/>
      <c r="I92" s="703"/>
      <c r="J92" s="81"/>
      <c r="K92" s="171"/>
      <c r="L92" s="279"/>
      <c r="M92" s="171"/>
      <c r="N92" s="279"/>
      <c r="O92" s="171"/>
      <c r="P92" s="279"/>
      <c r="Q92" s="81"/>
      <c r="R92" s="171"/>
      <c r="S92" s="279"/>
      <c r="T92" s="81"/>
      <c r="U92" s="145"/>
    </row>
    <row r="93" spans="1:21" s="42" customFormat="1" x14ac:dyDescent="0.2">
      <c r="A93" s="145"/>
      <c r="B93" s="145"/>
      <c r="C93" s="164" t="s">
        <v>29</v>
      </c>
      <c r="D93" s="164"/>
      <c r="E93" s="229" t="s">
        <v>331</v>
      </c>
      <c r="F93" s="229"/>
      <c r="G93" s="230"/>
      <c r="H93" s="685" t="e" cm="1">
        <f t="array" ref="H93">IF(C_N1 S_Perf_GI,C_N1 S_Perf_GI,"")</f>
        <v>#NAME?</v>
      </c>
      <c r="I93" s="686"/>
      <c r="J93" s="685" t="e" cm="1">
        <f t="array" ref="J93">IF(C_N1 S_Perf_AI,C_N1 S_Perf_AI,"")</f>
        <v>#NAME?</v>
      </c>
      <c r="K93" s="686"/>
      <c r="L93" s="685" t="e" cm="1">
        <f t="array" ref="L93">IF(C_N1  S_MAX_CONT_B1,C_N1  S_MAX_CONT_B1,"")</f>
        <v>#NAME?</v>
      </c>
      <c r="M93" s="686"/>
      <c r="N93" s="685" t="e" cm="1">
        <f t="array" ref="N93">IF(C_N1  S_Take_Off_B1,C_N1  S_Take_Off_B1,"")</f>
        <v>#NAME?</v>
      </c>
      <c r="O93" s="686"/>
      <c r="P93" s="685" t="e" cm="1">
        <f t="array" ref="P93">IF('RATINGS QUESTION'!$K$5="YES","N/A", IF(C_N1 S_MAX_CONT_B2,C_N1 S_MAX_CONT_B2,""))</f>
        <v>#NAME?</v>
      </c>
      <c r="Q93" s="687"/>
      <c r="R93" s="686"/>
      <c r="S93" s="685" t="e" cm="1">
        <f t="array" ref="S93">IF('RATINGS QUESTION'!$K$5="YES","N/A", IF(C_N1 S_Take_Off_B2,C_N1 S_Take_Off_B2,""))</f>
        <v>#NAME?</v>
      </c>
      <c r="T93" s="687"/>
      <c r="U93" s="145"/>
    </row>
    <row r="94" spans="1:21" s="42" customFormat="1" x14ac:dyDescent="0.2">
      <c r="A94" s="145"/>
      <c r="B94" s="145"/>
      <c r="C94" s="164" t="s">
        <v>33</v>
      </c>
      <c r="D94" s="164"/>
      <c r="E94" s="229" t="s">
        <v>331</v>
      </c>
      <c r="F94" s="229"/>
      <c r="G94" s="164"/>
      <c r="H94" s="685" t="e" cm="1">
        <f t="array" ref="H94">IF(C_N2 S_Perf_GI,C_N2 S_Perf_GI,"")</f>
        <v>#NAME?</v>
      </c>
      <c r="I94" s="686"/>
      <c r="J94" s="685" t="e" cm="1">
        <f t="array" ref="J94">IF(C_N2 S_Perf_AI,C_N2 S_Perf_AI,"")</f>
        <v>#NAME?</v>
      </c>
      <c r="K94" s="686"/>
      <c r="L94" s="685" t="e" cm="1">
        <f t="array" ref="L94">IF(C_N2  S_MAX_CONT_B1,C_N2  S_MAX_CONT_B1,"")</f>
        <v>#NAME?</v>
      </c>
      <c r="M94" s="686"/>
      <c r="N94" s="685" t="e" cm="1">
        <f t="array" ref="N94">IF(C_N2  S_Take_Off_B1,C_N2  S_Take_Off_B1,"")</f>
        <v>#NAME?</v>
      </c>
      <c r="O94" s="686"/>
      <c r="P94" s="685" t="e" cm="1">
        <f t="array" ref="P94">IF('RATINGS QUESTION'!$K$5="YES","N/A", IF(C_N2 S_MAX_CONT_B2,C_N2 S_MAX_CONT_B2,""))</f>
        <v>#NAME?</v>
      </c>
      <c r="Q94" s="687"/>
      <c r="R94" s="686"/>
      <c r="S94" s="685" t="e" cm="1">
        <f t="array" ref="S94">IF('RATINGS QUESTION'!$K$5="YES","N/A", IF(C_N2 S_Take_Off_B2,C_N2 S_Take_Off_B2,""))</f>
        <v>#NAME?</v>
      </c>
      <c r="T94" s="687"/>
      <c r="U94" s="145"/>
    </row>
    <row r="95" spans="1:21" s="42" customFormat="1" x14ac:dyDescent="0.2">
      <c r="A95" s="145"/>
      <c r="B95" s="145"/>
      <c r="C95" s="164" t="s">
        <v>152</v>
      </c>
      <c r="D95" s="164"/>
      <c r="E95" s="229" t="s">
        <v>332</v>
      </c>
      <c r="F95" s="229"/>
      <c r="G95" s="164"/>
      <c r="H95" s="685" t="e" cm="1">
        <f t="array" ref="H95">IF(C_FNnet S_Perf_GI,C_FNnet S_Perf_GI,"")</f>
        <v>#NAME?</v>
      </c>
      <c r="I95" s="686"/>
      <c r="J95" s="685" t="e" cm="1">
        <f t="array" ref="J95">IF(C_FNnet S_Perf_AI,C_FNnet S_Perf_AI,"")</f>
        <v>#NAME?</v>
      </c>
      <c r="K95" s="686"/>
      <c r="L95" s="685" t="e" cm="1">
        <f t="array" ref="L95">IF(C_FNnet  S_MAX_CONT_B1,C_FNnet  S_MAX_CONT_B1,"")</f>
        <v>#NAME?</v>
      </c>
      <c r="M95" s="686"/>
      <c r="N95" s="685" t="e" cm="1">
        <f t="array" ref="N95">IF(C_FNnet  S_Take_Off_B1,C_FNnet  S_Take_Off_B1,"")</f>
        <v>#NAME?</v>
      </c>
      <c r="O95" s="686"/>
      <c r="P95" s="685" t="e" cm="1">
        <f t="array" ref="P95">IF('RATINGS QUESTION'!$K$5="YES","N/A", IF(C_FNnet S_MAX_CONT_B2,C_FNnet S_MAX_CONT_B2,""))</f>
        <v>#NAME?</v>
      </c>
      <c r="Q95" s="687"/>
      <c r="R95" s="686"/>
      <c r="S95" s="685" t="e" cm="1">
        <f t="array" ref="S95">IF('RATINGS QUESTION'!$K$5="YES","N/A", IF(C_FNnet S_Take_Off_B2,C_FNnet S_Take_Off_B2,""))</f>
        <v>#NAME?</v>
      </c>
      <c r="T95" s="687"/>
      <c r="U95" s="145"/>
    </row>
    <row r="96" spans="1:21" s="42" customFormat="1" x14ac:dyDescent="0.2">
      <c r="A96" s="145"/>
      <c r="B96" s="145"/>
      <c r="C96" s="164" t="s">
        <v>360</v>
      </c>
      <c r="D96" s="164"/>
      <c r="E96" s="507" t="s">
        <v>332</v>
      </c>
      <c r="F96" s="507"/>
      <c r="G96" s="499"/>
      <c r="H96" s="685" t="e" cm="1">
        <f t="array" ref="H96">IF(C_FnCorrTC1Avg S_Perf_GI,C_FnCorrTC1Avg S_Perf_GI,"")</f>
        <v>#NAME?</v>
      </c>
      <c r="I96" s="686"/>
      <c r="J96" s="685" t="e" cm="1">
        <f t="array" ref="J96">IF(C_FnCorrTC1Avg S_Perf_AI,C_FnCorrTC1Avg S_Perf_AI,"")</f>
        <v>#NAME?</v>
      </c>
      <c r="K96" s="686"/>
      <c r="L96" s="685" t="e" cm="1">
        <f t="array" ref="L96">IF(C_FnCorrTC1Avg  S_MAX_CONT_B1,C_FnCorrTC1Avg  S_MAX_CONT_B1,"")</f>
        <v>#NAME?</v>
      </c>
      <c r="M96" s="686"/>
      <c r="N96" s="685" t="e" cm="1">
        <f t="array" ref="N96">IF(C_FnCorrTC1Avg  S_Take_Off_B1,C_FnCorrTC1Avg  S_Take_Off_B1,"")</f>
        <v>#NAME?</v>
      </c>
      <c r="O96" s="686"/>
      <c r="P96" s="685" t="e" cm="1">
        <f t="array" ref="P96">IF('RATINGS QUESTION'!$K$5="YES","N/A", IF(C_FnCorrTC1Avg S_MAX_CONT_B2,C_FnCorrTC1Avg S_MAX_CONT_B2,""))</f>
        <v>#NAME?</v>
      </c>
      <c r="Q96" s="687"/>
      <c r="R96" s="686"/>
      <c r="S96" s="685" t="e" cm="1">
        <f t="array" ref="S96">IF('RATINGS QUESTION'!$K$5="YES","N/A", IF(C_FnCorrTC1Avg S_Take_Off_B2,C_FnCorrTC1Avg S_Take_Off_B2,""))</f>
        <v>#NAME?</v>
      </c>
      <c r="T96" s="687"/>
      <c r="U96" s="145"/>
    </row>
    <row r="97" spans="1:21" s="42" customFormat="1" x14ac:dyDescent="0.2">
      <c r="A97" s="145"/>
      <c r="B97" s="145"/>
      <c r="C97" s="164" t="s">
        <v>361</v>
      </c>
      <c r="D97" s="164"/>
      <c r="E97" s="507" t="s">
        <v>332</v>
      </c>
      <c r="F97" s="507"/>
      <c r="G97" s="206"/>
      <c r="H97" s="685" t="e" cm="1">
        <f t="array" ref="H97">IF(C_FnCorrTC2Avg S_Perf_GI,C_FnCorrTC2Avg S_Perf_GI,"")</f>
        <v>#NAME?</v>
      </c>
      <c r="I97" s="686"/>
      <c r="J97" s="685" t="e" cm="1">
        <f t="array" ref="J97">IF(C_FnCorrTC2Avg S_Perf_AI,C_FnCorrTC2Avg S_Perf_AI,"")</f>
        <v>#NAME?</v>
      </c>
      <c r="K97" s="686"/>
      <c r="L97" s="685" t="e" cm="1">
        <f t="array" ref="L97">IF(C_FnCorrTC2Avg  S_MAX_CONT_B1,C_FnCorrTC2Avg  S_MAX_CONT_B1,"")</f>
        <v>#NAME?</v>
      </c>
      <c r="M97" s="686"/>
      <c r="N97" s="685" t="e" cm="1">
        <f t="array" ref="N97">IF(C_FnCorrTC2Avg  S_Take_Off_B1,C_FnCorrTC2Avg  S_Take_Off_B1,"")</f>
        <v>#NAME?</v>
      </c>
      <c r="O97" s="686"/>
      <c r="P97" s="685" t="e" cm="1">
        <f t="array" ref="P97">IF('RATINGS QUESTION'!$K$5="YES","N/A", IF(C_FnCorrTC2Avg S_MAX_CONT_B2,C_FnCorrTC2Avg S_MAX_CONT_B2,""))</f>
        <v>#NAME?</v>
      </c>
      <c r="Q97" s="687"/>
      <c r="R97" s="686"/>
      <c r="S97" s="685" t="e" cm="1">
        <f t="array" ref="S97">IF('RATINGS QUESTION'!$K$5="YES","N/A", IF(C_FnCorrTC2Avg S_Take_Off_B2,C_FnCorrTC2Avg S_Take_Off_B2,""))</f>
        <v>#NAME?</v>
      </c>
      <c r="T97" s="687"/>
      <c r="U97" s="145"/>
    </row>
    <row r="98" spans="1:21" s="42" customFormat="1" x14ac:dyDescent="0.2">
      <c r="A98" s="145"/>
      <c r="B98" s="145"/>
      <c r="C98" s="164" t="s">
        <v>66</v>
      </c>
      <c r="D98" s="164"/>
      <c r="E98" s="229" t="s">
        <v>448</v>
      </c>
      <c r="F98" s="205"/>
      <c r="G98" s="145"/>
      <c r="H98" s="720" t="s">
        <v>1</v>
      </c>
      <c r="I98" s="721"/>
      <c r="J98" s="720" t="s">
        <v>1</v>
      </c>
      <c r="K98" s="721"/>
      <c r="L98" s="685" t="e" cm="1">
        <f t="array" ref="L98">IF(C_TRISE  S_MAX_CONT_B1,C_TRISE  S_MAX_CONT_B1,"")</f>
        <v>#NAME?</v>
      </c>
      <c r="M98" s="686"/>
      <c r="N98" s="685" t="e" cm="1">
        <f t="array" ref="N98">IF(C_TRISE  S_Take_Off_B1,C_TRISE  S_Take_Off_B1,"")</f>
        <v>#NAME?</v>
      </c>
      <c r="O98" s="686"/>
      <c r="P98" s="685" t="e" cm="1">
        <f t="array" ref="P98">IF('RATINGS QUESTION'!$K$5="YES","N/A", IF(C_TRISE S_MAX_CONT_B2,C_TRISE S_MAX_CONT_B2,""))</f>
        <v>#NAME?</v>
      </c>
      <c r="Q98" s="687"/>
      <c r="R98" s="686"/>
      <c r="S98" s="685" t="e" cm="1">
        <f t="array" ref="S98">IF('RATINGS QUESTION'!$K$5="YES","N/A", IF(C_TRISE S_Take_Off_B2,C_TRISE S_Take_Off_B2,""))</f>
        <v>#NAME?</v>
      </c>
      <c r="T98" s="687"/>
      <c r="U98" s="145"/>
    </row>
    <row r="99" spans="1:21" s="42" customFormat="1" x14ac:dyDescent="0.2">
      <c r="A99" s="145"/>
      <c r="B99" s="145"/>
      <c r="C99" s="151" t="s">
        <v>362</v>
      </c>
      <c r="D99" s="151"/>
      <c r="E99" s="229" t="s">
        <v>333</v>
      </c>
      <c r="F99" s="229"/>
      <c r="G99" s="206"/>
      <c r="H99" s="685" t="e" cm="1">
        <f t="array" ref="H99">IF(C_T_Fuel_Fac S_Perf_GI,C_T_Fuel_Fac S_Perf_GI,"")</f>
        <v>#NAME?</v>
      </c>
      <c r="I99" s="686"/>
      <c r="J99" s="685" t="e" cm="1">
        <f t="array" ref="J99">IF(C_T_Fuel_Fac S_Perf_AI,C_T_Fuel_Fac S_Perf_AI,"")</f>
        <v>#NAME?</v>
      </c>
      <c r="K99" s="686"/>
      <c r="L99" s="685" t="e" cm="1">
        <f t="array" ref="L99">IF(C_T_Fuel_Fac  S_MAX_CONT_B1,C_T_Fuel_Fac  S_MAX_CONT_B1,"")</f>
        <v>#NAME?</v>
      </c>
      <c r="M99" s="686"/>
      <c r="N99" s="685" t="e" cm="1">
        <f t="array" ref="N99">IF(C_T_Fuel_Fac  S_Take_Off_B1,C_T_Fuel_Fac  S_Take_Off_B1,"")</f>
        <v>#NAME?</v>
      </c>
      <c r="O99" s="686"/>
      <c r="P99" s="685" t="e" cm="1">
        <f t="array" ref="P99">IF('RATINGS QUESTION'!$K$5="YES","N/A", IF(C_T_Fuel_Fac S_MAX_CONT_B2,C_T_Fuel_Fac S_MAX_CONT_B2,""))</f>
        <v>#NAME?</v>
      </c>
      <c r="Q99" s="687"/>
      <c r="R99" s="686"/>
      <c r="S99" s="685" t="e" cm="1">
        <f t="array" ref="S99">IF('RATINGS QUESTION'!$K$5="YES","N/A", IF(C_T_Fuel_Fac S_Take_Off_B2,C_T_Fuel_Fac S_Take_Off_B2,""))</f>
        <v>#NAME?</v>
      </c>
      <c r="T99" s="687"/>
      <c r="U99" s="145"/>
    </row>
    <row r="100" spans="1:21" s="42" customFormat="1" x14ac:dyDescent="0.2">
      <c r="A100" s="145"/>
      <c r="B100" s="145"/>
      <c r="C100" s="151" t="s">
        <v>363</v>
      </c>
      <c r="D100" s="151"/>
      <c r="E100" s="229" t="s">
        <v>364</v>
      </c>
      <c r="F100" s="229"/>
      <c r="G100" s="206"/>
      <c r="H100" s="685" t="e" cm="1">
        <f t="array" ref="H100">IF(C_PFUEL S_Perf_GI,C_PFUEL S_Perf_GI,"")</f>
        <v>#NAME?</v>
      </c>
      <c r="I100" s="686"/>
      <c r="J100" s="685" t="e" cm="1">
        <f t="array" ref="J100">IF(C_PFUEL S_Perf_AI,C_PFUEL S_Perf_AI,"")</f>
        <v>#NAME?</v>
      </c>
      <c r="K100" s="686"/>
      <c r="L100" s="685" t="e" cm="1">
        <f t="array" ref="L100">IF(C_PFUEL  S_MAX_CONT_B1,C_PFUEL  S_MAX_CONT_B1,"")</f>
        <v>#NAME?</v>
      </c>
      <c r="M100" s="686"/>
      <c r="N100" s="685" t="e" cm="1">
        <f t="array" ref="N100">IF(C_PFUEL  S_Take_Off_B1,C_PFUEL  S_Take_Off_B1,"")</f>
        <v>#NAME?</v>
      </c>
      <c r="O100" s="686"/>
      <c r="P100" s="685" t="e" cm="1">
        <f t="array" ref="P100">IF('RATINGS QUESTION'!$K$5="YES","N/A", IF(C_PFUEL S_MAX_CONT_B2,C_PFUEL S_MAX_CONT_B2,""))</f>
        <v>#NAME?</v>
      </c>
      <c r="Q100" s="687"/>
      <c r="R100" s="686"/>
      <c r="S100" s="685" t="e" cm="1">
        <f t="array" ref="S100">IF('RATINGS QUESTION'!$K$5="YES","N/A", IF(C_PFUEL S_Take_Off_B2,C_PFUEL S_Take_Off_B2,""))</f>
        <v>#NAME?</v>
      </c>
      <c r="T100" s="687"/>
      <c r="U100" s="145"/>
    </row>
    <row r="101" spans="1:21" s="42" customFormat="1" ht="12.75" customHeight="1" x14ac:dyDescent="0.2">
      <c r="A101" s="207"/>
      <c r="B101" s="207"/>
      <c r="C101" s="151" t="s">
        <v>365</v>
      </c>
      <c r="D101" s="151"/>
      <c r="E101" s="229" t="s">
        <v>358</v>
      </c>
      <c r="F101" s="229"/>
      <c r="G101" s="231"/>
      <c r="H101" s="685" t="e" cm="1">
        <f t="array" ref="H101">IF(C_WF1 S_Perf_GI,C_WF1 S_Perf_GI,"")</f>
        <v>#NAME?</v>
      </c>
      <c r="I101" s="686"/>
      <c r="J101" s="685" t="e" cm="1">
        <f t="array" ref="J101">IF(C_WF1 S_Perf_AI,C_WF1 S_Perf_AI,"")</f>
        <v>#NAME?</v>
      </c>
      <c r="K101" s="686"/>
      <c r="L101" s="685" t="e" cm="1">
        <f t="array" ref="L101">IF(C_WF1  S_MAX_CONT_B1,C_WF1  S_MAX_CONT_B1,"")</f>
        <v>#NAME?</v>
      </c>
      <c r="M101" s="686"/>
      <c r="N101" s="685" t="e" cm="1">
        <f t="array" ref="N101">IF(C_WF1  S_Take_Off_B1,C_WF1  S_Take_Off_B1,"")</f>
        <v>#NAME?</v>
      </c>
      <c r="O101" s="686"/>
      <c r="P101" s="685" t="e" cm="1">
        <f t="array" ref="P101">IF('RATINGS QUESTION'!$K$5="YES","N/A", IF(C_WF1 S_MAX_CONT_B2,C_WF1 S_MAX_CONT_B2,""))</f>
        <v>#NAME?</v>
      </c>
      <c r="Q101" s="687"/>
      <c r="R101" s="686"/>
      <c r="S101" s="685" t="e" cm="1">
        <f t="array" ref="S101">IF('RATINGS QUESTION'!$K$5="YES","N/A", IF(C_WF1 S_Take_Off_B2,C_WF1 S_Take_Off_B2,""))</f>
        <v>#NAME?</v>
      </c>
      <c r="T101" s="687"/>
      <c r="U101" s="151"/>
    </row>
    <row r="102" spans="1:21" s="42" customFormat="1" ht="12.75" customHeight="1" x14ac:dyDescent="0.2">
      <c r="A102" s="145"/>
      <c r="B102" s="145"/>
      <c r="C102" s="151" t="s">
        <v>366</v>
      </c>
      <c r="D102" s="151"/>
      <c r="E102" s="229" t="s">
        <v>358</v>
      </c>
      <c r="F102" s="229"/>
      <c r="G102" s="145"/>
      <c r="H102" s="685" t="e" cm="1">
        <f t="array" ref="H102">IF(C_WF2 S_Perf_GI,C_WF2 S_Perf_GI,"")</f>
        <v>#NAME?</v>
      </c>
      <c r="I102" s="686"/>
      <c r="J102" s="685" t="e" cm="1">
        <f t="array" ref="J102">IF(C_WF2 S_Perf_AI,C_WF2 S_Perf_AI,"")</f>
        <v>#NAME?</v>
      </c>
      <c r="K102" s="686"/>
      <c r="L102" s="685" t="e" cm="1">
        <f t="array" ref="L102">IF(C_WF2  S_MAX_CONT_B1,C_WF2  S_MAX_CONT_B1,"")</f>
        <v>#NAME?</v>
      </c>
      <c r="M102" s="686"/>
      <c r="N102" s="685" t="e" cm="1">
        <f t="array" ref="N102">IF(C_WF2  S_Take_Off_B1,C_WF2  S_Take_Off_B1,"")</f>
        <v>#NAME?</v>
      </c>
      <c r="O102" s="686"/>
      <c r="P102" s="685" t="e" cm="1">
        <f t="array" ref="P102">IF('RATINGS QUESTION'!$K$5="YES","N/A", IF(C_WF2 S_MAX_CONT_B2,C_WF2 S_MAX_CONT_B2,""))</f>
        <v>#NAME?</v>
      </c>
      <c r="Q102" s="687"/>
      <c r="R102" s="686"/>
      <c r="S102" s="685" t="e" cm="1">
        <f t="array" ref="S102">IF('RATINGS QUESTION'!$K$5="YES","N/A", IF(C_WF2 S_Take_Off_B2,C_WF2 S_Take_Off_B2,""))</f>
        <v>#NAME?</v>
      </c>
      <c r="T102" s="687"/>
      <c r="U102" s="151"/>
    </row>
    <row r="103" spans="1:21" s="42" customFormat="1" x14ac:dyDescent="0.2">
      <c r="A103" s="145"/>
      <c r="B103" s="145"/>
      <c r="C103" s="151" t="s">
        <v>23</v>
      </c>
      <c r="D103" s="151"/>
      <c r="E103" s="229" t="s">
        <v>367</v>
      </c>
      <c r="F103" s="229"/>
      <c r="G103" s="145"/>
      <c r="H103" s="685" t="e" cm="1">
        <f t="array" ref="H103">IF(C_LHV S_Perf_GI,C_LHV S_Perf_GI,"")</f>
        <v>#NAME?</v>
      </c>
      <c r="I103" s="686"/>
      <c r="J103" s="685" t="e" cm="1">
        <f t="array" ref="J103">IF(C_LHV S_Perf_AI,C_LHV S_Perf_AI,"")</f>
        <v>#NAME?</v>
      </c>
      <c r="K103" s="686"/>
      <c r="L103" s="685" t="e" cm="1">
        <f t="array" ref="L103">IF(C_LHV  S_MAX_CONT_B1,C_LHV  S_MAX_CONT_B1,"")</f>
        <v>#NAME?</v>
      </c>
      <c r="M103" s="686"/>
      <c r="N103" s="685" t="e" cm="1">
        <f t="array" ref="N103">IF(C_LHV  S_Take_Off_B1,C_LHV  S_Take_Off_B1,"")</f>
        <v>#NAME?</v>
      </c>
      <c r="O103" s="686"/>
      <c r="P103" s="685" t="e" cm="1">
        <f t="array" ref="P103">IF('RATINGS QUESTION'!$K$5="YES","N/A", IF(C_LHV S_MAX_CONT_B2,C_LHV S_MAX_CONT_B2,""))</f>
        <v>#NAME?</v>
      </c>
      <c r="Q103" s="687"/>
      <c r="R103" s="686"/>
      <c r="S103" s="685" t="e" cm="1">
        <f t="array" ref="S103">IF('RATINGS QUESTION'!$K$5="YES","N/A", IF(C_LHV S_Take_Off_B2,C_LHV S_Take_Off_B2,""))</f>
        <v>#NAME?</v>
      </c>
      <c r="T103" s="687"/>
      <c r="U103" s="170"/>
    </row>
    <row r="104" spans="1:21" s="42" customFormat="1" x14ac:dyDescent="0.2">
      <c r="A104" s="145"/>
      <c r="B104" s="145"/>
      <c r="C104" s="151" t="s">
        <v>97</v>
      </c>
      <c r="D104" s="151"/>
      <c r="E104" s="208" t="s">
        <v>0</v>
      </c>
      <c r="F104" s="208"/>
      <c r="G104" s="145"/>
      <c r="H104" s="685" t="e" cm="1">
        <f t="array" ref="H104">IF(C_SGFuel S_Perf_GI,C_SGFuel S_Perf_GI,"")</f>
        <v>#NAME?</v>
      </c>
      <c r="I104" s="686"/>
      <c r="J104" s="685" t="e" cm="1">
        <f t="array" ref="J104">IF(C_SGFuel S_Perf_AI,C_SGFuel S_Perf_AI,"")</f>
        <v>#NAME?</v>
      </c>
      <c r="K104" s="686"/>
      <c r="L104" s="685" t="e" cm="1">
        <f t="array" ref="L104">IF(C_SGFuel  S_MAX_CONT_B1,C_SGFuel  S_MAX_CONT_B1,"")</f>
        <v>#NAME?</v>
      </c>
      <c r="M104" s="686"/>
      <c r="N104" s="685" t="e" cm="1">
        <f t="array" ref="N104">IF(C_SGFuel  S_Take_Off_B1,C_SGFuel  S_Take_Off_B1,"")</f>
        <v>#NAME?</v>
      </c>
      <c r="O104" s="686"/>
      <c r="P104" s="685" t="e" cm="1">
        <f t="array" ref="P104">IF('RATINGS QUESTION'!$K$5="YES","N/A", IF(C_SGFuel S_MAX_CONT_B2,C_SGFuel S_MAX_CONT_B2,""))</f>
        <v>#NAME?</v>
      </c>
      <c r="Q104" s="687"/>
      <c r="R104" s="686"/>
      <c r="S104" s="685" t="e" cm="1">
        <f t="array" ref="S104">IF('RATINGS QUESTION'!$K$5="YES","N/A", IF(C_SGFuel S_Take_Off_B2,C_SGFuel S_Take_Off_B2,""))</f>
        <v>#NAME?</v>
      </c>
      <c r="T104" s="687"/>
      <c r="U104" s="170"/>
    </row>
    <row r="105" spans="1:21" s="42" customFormat="1" x14ac:dyDescent="0.2">
      <c r="A105" s="145"/>
      <c r="B105" s="145"/>
      <c r="C105" s="151" t="s">
        <v>368</v>
      </c>
      <c r="D105" s="151"/>
      <c r="E105" s="229" t="s">
        <v>3</v>
      </c>
      <c r="F105" s="229"/>
      <c r="G105" s="145"/>
      <c r="H105" s="685" t="e" cm="1">
        <f t="array" ref="H105">IF(C_RHFront S_Perf_GI,C_RHFront S_Perf_GI,"")</f>
        <v>#NAME?</v>
      </c>
      <c r="I105" s="686"/>
      <c r="J105" s="685" t="e" cm="1">
        <f t="array" ref="J105">IF(C_RHFront S_Perf_AI,C_RHFront S_Perf_AI,"")</f>
        <v>#NAME?</v>
      </c>
      <c r="K105" s="686"/>
      <c r="L105" s="685" t="e" cm="1">
        <f t="array" ref="L105">IF(C_RHFront  S_MAX_CONT_B1,C_RHFront  S_MAX_CONT_B1,"")</f>
        <v>#NAME?</v>
      </c>
      <c r="M105" s="686"/>
      <c r="N105" s="685" t="e" cm="1">
        <f t="array" ref="N105">IF(C_RHFront  S_Take_Off_B1,C_RHFront  S_Take_Off_B1,"")</f>
        <v>#NAME?</v>
      </c>
      <c r="O105" s="686"/>
      <c r="P105" s="685" t="e" cm="1">
        <f t="array" ref="P105">IF('RATINGS QUESTION'!$K$5="YES","N/A", IF(C_RHFront S_MAX_CONT_B2,C_RHFront S_MAX_CONT_B2,""))</f>
        <v>#NAME?</v>
      </c>
      <c r="Q105" s="687"/>
      <c r="R105" s="686"/>
      <c r="S105" s="685" t="e" cm="1">
        <f t="array" ref="S105">IF('RATINGS QUESTION'!$K$5="YES","N/A", IF(C_RHFront S_Take_Off_B2,C_RHFront S_Take_Off_B2,""))</f>
        <v>#NAME?</v>
      </c>
      <c r="T105" s="687"/>
      <c r="U105" s="170"/>
    </row>
    <row r="106" spans="1:21" s="42" customFormat="1" x14ac:dyDescent="0.2">
      <c r="A106" s="145"/>
      <c r="B106" s="145"/>
      <c r="C106" s="151" t="s">
        <v>369</v>
      </c>
      <c r="D106" s="151"/>
      <c r="E106" s="229" t="s">
        <v>3</v>
      </c>
      <c r="F106" s="229"/>
      <c r="G106" s="145"/>
      <c r="H106" s="685" t="e" cm="1">
        <f t="array" ref="H106">IF(C_RHRear S_Perf_GI,C_RHRear S_Perf_GI,"")</f>
        <v>#NAME?</v>
      </c>
      <c r="I106" s="686"/>
      <c r="J106" s="685" t="e" cm="1">
        <f t="array" ref="J106">IF(C_RHRear S_Perf_AI,C_RHRear S_Perf_AI,"")</f>
        <v>#NAME?</v>
      </c>
      <c r="K106" s="686"/>
      <c r="L106" s="685" t="e" cm="1">
        <f t="array" ref="L106">IF(C_RHRear  S_MAX_CONT_B1,C_RHRear  S_MAX_CONT_B1,"")</f>
        <v>#NAME?</v>
      </c>
      <c r="M106" s="686"/>
      <c r="N106" s="685" t="e" cm="1">
        <f t="array" ref="N106">IF(C_RHRear  S_Take_Off_B1,C_RHRear  S_Take_Off_B1,"")</f>
        <v>#NAME?</v>
      </c>
      <c r="O106" s="686"/>
      <c r="P106" s="685" t="e" cm="1">
        <f t="array" ref="P106">IF('RATINGS QUESTION'!$K$5="YES","N/A", IF(C_RHRear S_MAX_CONT_B2,C_RHRear S_MAX_CONT_B2,""))</f>
        <v>#NAME?</v>
      </c>
      <c r="Q106" s="687"/>
      <c r="R106" s="686"/>
      <c r="S106" s="685" t="e" cm="1">
        <f t="array" ref="S106">IF('RATINGS QUESTION'!$K$5="YES","N/A", IF(C_RHRear S_Take_Off_B2,C_RHRear S_Take_Off_B2,""))</f>
        <v>#NAME?</v>
      </c>
      <c r="T106" s="687"/>
      <c r="U106" s="145"/>
    </row>
    <row r="107" spans="1:21" s="42" customFormat="1" x14ac:dyDescent="0.2">
      <c r="A107" s="145"/>
      <c r="B107" s="145"/>
      <c r="C107" s="151" t="s">
        <v>145</v>
      </c>
      <c r="D107" s="151"/>
      <c r="E107" s="229" t="s">
        <v>370</v>
      </c>
      <c r="F107" s="229"/>
      <c r="G107" s="145"/>
      <c r="H107" s="685" t="e" cm="1">
        <f t="array" ref="H107">IF(C_HUM S_Perf_GI,C_HUM S_Perf_GI,"")</f>
        <v>#NAME?</v>
      </c>
      <c r="I107" s="686"/>
      <c r="J107" s="685" t="e" cm="1">
        <f t="array" ref="J107">IF(C_HUM S_Perf_AI,C_HUM S_Perf_AI,"")</f>
        <v>#NAME?</v>
      </c>
      <c r="K107" s="686"/>
      <c r="L107" s="685" t="e" cm="1">
        <f t="array" ref="L107">IF(C_HUM  S_MAX_CONT_B1,C_HUM  S_MAX_CONT_B1,"")</f>
        <v>#NAME?</v>
      </c>
      <c r="M107" s="686"/>
      <c r="N107" s="685" t="e" cm="1">
        <f t="array" ref="N107">IF(C_HUM  S_Take_Off_B1,C_HUM  S_Take_Off_B1,"")</f>
        <v>#NAME?</v>
      </c>
      <c r="O107" s="686"/>
      <c r="P107" s="685" t="e" cm="1">
        <f t="array" ref="P107">IF('RATINGS QUESTION'!$K$5="YES","N/A", IF(C_HUM S_MAX_CONT_B2,C_HUM S_MAX_CONT_B2,""))</f>
        <v>#NAME?</v>
      </c>
      <c r="Q107" s="687"/>
      <c r="R107" s="686"/>
      <c r="S107" s="685" t="e" cm="1">
        <f t="array" ref="S107">IF('RATINGS QUESTION'!$K$5="YES","N/A", IF(C_HUM S_Take_Off_B2,C_HUM S_Take_Off_B2,""))</f>
        <v>#NAME?</v>
      </c>
      <c r="T107" s="687"/>
      <c r="U107" s="145"/>
    </row>
    <row r="108" spans="1:21" s="42" customFormat="1" ht="14.25" x14ac:dyDescent="0.2">
      <c r="A108" s="145"/>
      <c r="B108" s="145"/>
      <c r="C108" s="145"/>
      <c r="D108" s="145"/>
      <c r="E108" s="145"/>
      <c r="F108" s="145"/>
      <c r="G108" s="145"/>
      <c r="H108" s="160"/>
      <c r="I108" s="161"/>
      <c r="J108" s="145"/>
      <c r="K108" s="161"/>
      <c r="L108" s="160"/>
      <c r="M108" s="161"/>
      <c r="N108" s="160"/>
      <c r="O108" s="161"/>
      <c r="P108" s="217"/>
      <c r="Q108" s="218"/>
      <c r="R108" s="219"/>
      <c r="S108" s="160"/>
      <c r="T108" s="145"/>
      <c r="U108" s="145"/>
    </row>
    <row r="109" spans="1:21" s="42" customFormat="1" ht="14.25" x14ac:dyDescent="0.2">
      <c r="A109" s="145"/>
      <c r="B109" s="145"/>
      <c r="C109" s="145"/>
      <c r="D109" s="145"/>
      <c r="E109" s="145"/>
      <c r="F109" s="145"/>
      <c r="G109" s="145"/>
      <c r="H109" s="160"/>
      <c r="I109" s="161"/>
      <c r="J109" s="145"/>
      <c r="K109" s="161"/>
      <c r="L109" s="160"/>
      <c r="M109" s="161"/>
      <c r="N109" s="160"/>
      <c r="O109" s="161"/>
      <c r="P109" s="217"/>
      <c r="Q109" s="218"/>
      <c r="R109" s="219"/>
      <c r="S109" s="160"/>
      <c r="T109" s="145"/>
      <c r="U109" s="145"/>
    </row>
    <row r="110" spans="1:21" s="42" customFormat="1" ht="14.25" x14ac:dyDescent="0.2">
      <c r="A110" s="145"/>
      <c r="B110" s="145"/>
      <c r="C110" s="145"/>
      <c r="D110" s="145"/>
      <c r="E110" s="145"/>
      <c r="F110" s="145"/>
      <c r="G110" s="145"/>
      <c r="H110" s="160"/>
      <c r="I110" s="161"/>
      <c r="J110" s="145"/>
      <c r="K110" s="161"/>
      <c r="L110" s="160"/>
      <c r="M110" s="161"/>
      <c r="N110" s="160"/>
      <c r="O110" s="161"/>
      <c r="P110" s="217"/>
      <c r="Q110" s="218"/>
      <c r="R110" s="219"/>
      <c r="S110" s="160"/>
      <c r="T110" s="145"/>
      <c r="U110" s="145"/>
    </row>
    <row r="111" spans="1:21" s="42" customFormat="1" ht="14.25" x14ac:dyDescent="0.2">
      <c r="A111" s="145"/>
      <c r="B111" s="145"/>
      <c r="C111" s="145"/>
      <c r="D111" s="145"/>
      <c r="E111" s="145"/>
      <c r="F111" s="145"/>
      <c r="G111" s="145"/>
      <c r="H111" s="160"/>
      <c r="I111" s="161"/>
      <c r="J111" s="145"/>
      <c r="K111" s="161"/>
      <c r="L111" s="160"/>
      <c r="M111" s="161"/>
      <c r="N111" s="160"/>
      <c r="O111" s="161"/>
      <c r="P111" s="217"/>
      <c r="Q111" s="218"/>
      <c r="R111" s="219"/>
      <c r="S111" s="160"/>
      <c r="T111" s="145"/>
      <c r="U111" s="145"/>
    </row>
    <row r="112" spans="1:21" s="42" customFormat="1" ht="14.25" x14ac:dyDescent="0.2">
      <c r="A112" s="145"/>
      <c r="B112" s="145"/>
      <c r="C112" s="145"/>
      <c r="D112" s="145"/>
      <c r="E112" s="145"/>
      <c r="F112" s="145"/>
      <c r="G112" s="145"/>
      <c r="H112" s="160"/>
      <c r="I112" s="161"/>
      <c r="J112" s="145"/>
      <c r="K112" s="161"/>
      <c r="L112" s="160"/>
      <c r="M112" s="161"/>
      <c r="N112" s="160"/>
      <c r="O112" s="161"/>
      <c r="P112" s="217"/>
      <c r="Q112" s="218"/>
      <c r="R112" s="219"/>
      <c r="S112" s="160"/>
      <c r="T112" s="145"/>
      <c r="U112" s="145"/>
    </row>
    <row r="113" spans="1:21" s="42" customFormat="1" ht="12.75" customHeight="1" x14ac:dyDescent="0.2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218"/>
      <c r="Q113" s="218"/>
      <c r="R113" s="218"/>
      <c r="S113" s="145"/>
      <c r="T113" s="673"/>
      <c r="U113" s="673"/>
    </row>
    <row r="114" spans="1:21" s="42" customFormat="1" ht="12.75" customHeight="1" x14ac:dyDescent="0.2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218"/>
      <c r="Q114" s="218"/>
      <c r="R114" s="218"/>
      <c r="S114" s="145"/>
      <c r="T114" s="673" t="s">
        <v>456</v>
      </c>
      <c r="U114" s="673"/>
    </row>
    <row r="115" spans="1:21" s="42" customFormat="1" ht="12.75" customHeight="1" x14ac:dyDescent="0.2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218"/>
      <c r="Q115" s="218"/>
      <c r="R115" s="218"/>
      <c r="S115" s="145"/>
      <c r="T115" s="293"/>
      <c r="U115" s="293"/>
    </row>
    <row r="116" spans="1:21" s="42" customFormat="1" ht="16.5" customHeight="1" x14ac:dyDescent="0.25">
      <c r="A116" s="145"/>
      <c r="B116" s="145"/>
      <c r="C116" s="156"/>
      <c r="D116" s="156"/>
      <c r="E116" s="156"/>
      <c r="F116" s="156"/>
      <c r="G116" s="157"/>
      <c r="H116" s="698" t="s">
        <v>572</v>
      </c>
      <c r="I116" s="699"/>
      <c r="J116" s="700" t="s">
        <v>573</v>
      </c>
      <c r="K116" s="699"/>
      <c r="L116" s="700" t="s">
        <v>571</v>
      </c>
      <c r="M116" s="699"/>
      <c r="N116" s="700" t="s">
        <v>487</v>
      </c>
      <c r="O116" s="699"/>
      <c r="P116" s="700" t="s">
        <v>571</v>
      </c>
      <c r="Q116" s="698"/>
      <c r="R116" s="699"/>
      <c r="S116" s="700" t="s">
        <v>487</v>
      </c>
      <c r="T116" s="698"/>
      <c r="U116" s="158"/>
    </row>
    <row r="117" spans="1:21" s="42" customFormat="1" ht="12.75" customHeight="1" x14ac:dyDescent="0.25">
      <c r="A117" s="145"/>
      <c r="B117" s="300"/>
      <c r="C117" s="300"/>
      <c r="D117" s="300"/>
      <c r="E117" s="300"/>
      <c r="F117" s="300"/>
      <c r="G117" s="300"/>
      <c r="H117" s="674"/>
      <c r="I117" s="690"/>
      <c r="J117" s="689"/>
      <c r="K117" s="690"/>
      <c r="L117" s="689" t="e" cm="1">
        <f t="array" ref="L117" xml:space="preserve"> VLOOKUP(C_Engine_Rating S_MAX_CONT_B1, enum_list!$A$2:$F$102,3,1)</f>
        <v>#NAME?</v>
      </c>
      <c r="M117" s="690"/>
      <c r="N117" s="689" t="e" cm="1">
        <f t="array" ref="N117" xml:space="preserve"> VLOOKUP(C_Engine_Rating S_Take_Off_B1, enum_list!$A$2:$F$102,3,1)</f>
        <v>#NAME?</v>
      </c>
      <c r="O117" s="690"/>
      <c r="P117" s="701" t="e" cm="1">
        <f t="array" ref="P117">IF('RATINGS QUESTION'!$K$5="YES","N/A",VLOOKUP(C_Engine_Rating S_MAX_CONT_B2, enum_list!$A$2:$F$102,3,1))</f>
        <v>#NAME?</v>
      </c>
      <c r="Q117" s="702"/>
      <c r="R117" s="703"/>
      <c r="S117" s="689" t="e" cm="1">
        <f t="array" ref="S117">IF('RATINGS QUESTION'!$K$5="YES","N/A",VLOOKUP(C_Engine_Rating S_Take_Off_B2, enum_list!$A$2:$F$102,3,1))</f>
        <v>#NAME?</v>
      </c>
      <c r="T117" s="674"/>
      <c r="U117" s="294"/>
    </row>
    <row r="118" spans="1:21" s="42" customFormat="1" ht="12.75" customHeight="1" thickBot="1" x14ac:dyDescent="0.3">
      <c r="A118" s="145"/>
      <c r="B118" s="301"/>
      <c r="C118" s="301"/>
      <c r="D118" s="301"/>
      <c r="E118" s="301"/>
      <c r="F118" s="301"/>
      <c r="G118" s="301"/>
      <c r="H118" s="294"/>
      <c r="I118" s="296"/>
      <c r="J118" s="295"/>
      <c r="K118" s="296"/>
      <c r="L118" s="295"/>
      <c r="M118" s="296"/>
      <c r="N118" s="295"/>
      <c r="O118" s="296"/>
      <c r="P118" s="295"/>
      <c r="Q118" s="294"/>
      <c r="R118" s="296"/>
      <c r="S118" s="295"/>
      <c r="T118" s="294"/>
      <c r="U118" s="294"/>
    </row>
    <row r="119" spans="1:21" ht="16.5" customHeight="1" thickBot="1" x14ac:dyDescent="0.25">
      <c r="A119" s="145"/>
      <c r="B119" s="691" t="s">
        <v>583</v>
      </c>
      <c r="C119" s="692"/>
      <c r="D119" s="692"/>
      <c r="E119" s="692"/>
      <c r="F119" s="692"/>
      <c r="G119" s="693"/>
      <c r="H119" s="159"/>
      <c r="I119" s="161"/>
      <c r="J119" s="145"/>
      <c r="K119" s="161"/>
      <c r="L119" s="160"/>
      <c r="M119" s="161"/>
      <c r="N119" s="160"/>
      <c r="O119" s="161"/>
      <c r="P119" s="160"/>
      <c r="Q119" s="145"/>
      <c r="R119" s="161"/>
      <c r="S119" s="160"/>
      <c r="T119" s="145"/>
      <c r="U119" s="145"/>
    </row>
    <row r="120" spans="1:21" ht="12.75" customHeight="1" x14ac:dyDescent="0.2">
      <c r="A120" s="145"/>
      <c r="B120" s="145"/>
      <c r="C120" s="145"/>
      <c r="D120" s="145"/>
      <c r="E120" s="145"/>
      <c r="F120" s="145"/>
      <c r="G120" s="145"/>
      <c r="H120" s="163"/>
      <c r="I120" s="161"/>
      <c r="J120" s="145"/>
      <c r="K120" s="161"/>
      <c r="L120" s="160"/>
      <c r="M120" s="161"/>
      <c r="N120" s="160"/>
      <c r="O120" s="161"/>
      <c r="P120" s="160"/>
      <c r="Q120" s="145"/>
      <c r="R120" s="161"/>
      <c r="S120" s="160"/>
      <c r="T120" s="145"/>
      <c r="U120" s="145"/>
    </row>
    <row r="121" spans="1:21" ht="12.75" customHeight="1" x14ac:dyDescent="0.2">
      <c r="A121" s="145"/>
      <c r="B121" s="145"/>
      <c r="C121" s="164" t="s">
        <v>67</v>
      </c>
      <c r="D121" s="164"/>
      <c r="E121" s="165" t="s">
        <v>333</v>
      </c>
      <c r="F121" s="165"/>
      <c r="G121" s="162"/>
      <c r="H121" s="685" t="e" cm="1">
        <f t="array" ref="H121">IF(C_TT2 S_Perf_GI,C_TT2 S_Perf_GI,"")</f>
        <v>#NAME?</v>
      </c>
      <c r="I121" s="686"/>
      <c r="J121" s="685" t="e" cm="1">
        <f t="array" ref="J121">IF(C_TT2 S_Perf_AI,C_TT2 S_Perf_AI,"")</f>
        <v>#NAME?</v>
      </c>
      <c r="K121" s="686"/>
      <c r="L121" s="685" t="e" cm="1">
        <f t="array" ref="L121">IF(C_TT2  S_MAX_CONT_B1,C_TT2  S_MAX_CONT_B1,"")</f>
        <v>#NAME?</v>
      </c>
      <c r="M121" s="686"/>
      <c r="N121" s="685" t="e" cm="1">
        <f t="array" ref="N121">IF(C_TT2  S_Take_Off_B1,C_TT2  S_Take_Off_B1,"")</f>
        <v>#NAME?</v>
      </c>
      <c r="O121" s="686"/>
      <c r="P121" s="685" t="e" cm="1">
        <f t="array" ref="P121">IF('RATINGS QUESTION'!$K$5="YES","N/A", IF(C_TT2 S_MAX_CONT_B2,C_TT2 S_MAX_CONT_B2,""))</f>
        <v>#NAME?</v>
      </c>
      <c r="Q121" s="687"/>
      <c r="R121" s="686"/>
      <c r="S121" s="685" t="e" cm="1">
        <f t="array" ref="S121">IF('RATINGS QUESTION'!$K$5="YES","N/A", IF(C_TT2 S_Take_Off_B2,C_TT2 S_Take_Off_B2,""))</f>
        <v>#NAME?</v>
      </c>
      <c r="T121" s="687"/>
      <c r="U121" s="145"/>
    </row>
    <row r="122" spans="1:21" x14ac:dyDescent="0.2">
      <c r="A122" s="145"/>
      <c r="B122" s="145"/>
      <c r="C122" s="164" t="s">
        <v>450</v>
      </c>
      <c r="D122" s="164"/>
      <c r="E122" s="225" t="s">
        <v>333</v>
      </c>
      <c r="F122" s="225"/>
      <c r="G122" s="145"/>
      <c r="H122" s="685" t="e" cm="1">
        <f t="array" ref="H122">IF(C_TCowlFwd S_Perf_GI,C_TCowlFwd S_Perf_GI,"")</f>
        <v>#NAME?</v>
      </c>
      <c r="I122" s="686"/>
      <c r="J122" s="685" t="e" cm="1">
        <f t="array" ref="J122">IF(C_TCowlFwd S_Perf_AI,C_TCowlFwd S_Perf_AI,"")</f>
        <v>#NAME?</v>
      </c>
      <c r="K122" s="686"/>
      <c r="L122" s="685" t="e" cm="1">
        <f t="array" ref="L122">IF(C_TCowlFwd  S_MAX_CONT_B1,C_TCowlFwd  S_MAX_CONT_B1,"")</f>
        <v>#NAME?</v>
      </c>
      <c r="M122" s="686"/>
      <c r="N122" s="685" t="e" cm="1">
        <f t="array" ref="N122">IF(C_TCowlFwd  S_Take_Off_B1,C_TCowlFwd  S_Take_Off_B1,"")</f>
        <v>#NAME?</v>
      </c>
      <c r="O122" s="686"/>
      <c r="P122" s="685" t="e" cm="1">
        <f t="array" ref="P122">IF('RATINGS QUESTION'!$K$5="YES","N/A", IF(C_TCowlFwd S_MAX_CONT_B2,C_TCowlFwd S_MAX_CONT_B2,""))</f>
        <v>#NAME?</v>
      </c>
      <c r="Q122" s="687"/>
      <c r="R122" s="686"/>
      <c r="S122" s="685" t="e" cm="1">
        <f t="array" ref="S122">IF('RATINGS QUESTION'!$K$5="YES","N/A", IF(C_TCowlFwd S_Take_Off_B2,C_TCowlFwd S_Take_Off_B2,""))</f>
        <v>#NAME?</v>
      </c>
      <c r="T122" s="687"/>
      <c r="U122" s="145"/>
    </row>
    <row r="123" spans="1:21" x14ac:dyDescent="0.2">
      <c r="A123" s="145"/>
      <c r="B123" s="145"/>
      <c r="C123" s="164" t="s">
        <v>451</v>
      </c>
      <c r="D123" s="164"/>
      <c r="E123" s="225" t="s">
        <v>333</v>
      </c>
      <c r="F123" s="225"/>
      <c r="G123" s="145"/>
      <c r="H123" s="685" t="e" cm="1">
        <f t="array" ref="H123">IF(C_TCowlAft S_Perf_GI,C_TCowlAft S_Perf_GI,"")</f>
        <v>#NAME?</v>
      </c>
      <c r="I123" s="686"/>
      <c r="J123" s="685" t="e" cm="1">
        <f t="array" ref="J123">IF(C_TCowlAft S_Perf_AI,C_TCowlAft S_Perf_AI,"")</f>
        <v>#NAME?</v>
      </c>
      <c r="K123" s="686"/>
      <c r="L123" s="685" t="e" cm="1">
        <f t="array" ref="L123">IF(C_TCowlAft  S_MAX_CONT_B1,C_TCowlAft  S_MAX_CONT_B1,"")</f>
        <v>#NAME?</v>
      </c>
      <c r="M123" s="686"/>
      <c r="N123" s="685" t="e" cm="1">
        <f t="array" ref="N123">IF(C_TCowlAft  S_Take_Off_B1,C_TCowlAft  S_Take_Off_B1,"")</f>
        <v>#NAME?</v>
      </c>
      <c r="O123" s="686"/>
      <c r="P123" s="685" t="e" cm="1">
        <f t="array" ref="P123">IF('RATINGS QUESTION'!$K$5="YES","N/A", IF(C_TCowlAft S_MAX_CONT_B2,C_TCowlAft S_MAX_CONT_B2,""))</f>
        <v>#NAME?</v>
      </c>
      <c r="Q123" s="687"/>
      <c r="R123" s="686"/>
      <c r="S123" s="685" t="e" cm="1">
        <f t="array" ref="S123">IF('RATINGS QUESTION'!$K$5="YES","N/A", IF(C_TCowlAft S_Take_Off_B2,C_TCowlAft S_Take_Off_B2,""))</f>
        <v>#NAME?</v>
      </c>
      <c r="T123" s="687"/>
      <c r="U123" s="145"/>
    </row>
    <row r="124" spans="1:21" ht="12.75" customHeight="1" x14ac:dyDescent="0.2">
      <c r="A124" s="145"/>
      <c r="B124" s="145"/>
      <c r="C124" s="164" t="s">
        <v>371</v>
      </c>
      <c r="D124" s="164"/>
      <c r="E124" s="165" t="s">
        <v>333</v>
      </c>
      <c r="F124" s="165"/>
      <c r="G124" s="145"/>
      <c r="H124" s="685" t="e" cm="1">
        <f t="array" ref="H124">IF(C_TCowl1 S_Perf_GI,C_TCowl1 S_Perf_GI,"")</f>
        <v>#NAME?</v>
      </c>
      <c r="I124" s="686"/>
      <c r="J124" s="685" t="e" cm="1">
        <f t="array" ref="J124">IF(C_TCowl1 S_Perf_AI,C_TCowl1 S_Perf_AI,"")</f>
        <v>#NAME?</v>
      </c>
      <c r="K124" s="686"/>
      <c r="L124" s="685" t="e" cm="1">
        <f t="array" ref="L124">IF(C_TCowl1  S_MAX_CONT_B1,C_TCowl1  S_MAX_CONT_B1,"")</f>
        <v>#NAME?</v>
      </c>
      <c r="M124" s="686"/>
      <c r="N124" s="685" t="e" cm="1">
        <f t="array" ref="N124">IF(C_TCowl1  S_Take_Off_B1,C_TCowl1  S_Take_Off_B1,"")</f>
        <v>#NAME?</v>
      </c>
      <c r="O124" s="686"/>
      <c r="P124" s="685" t="e" cm="1">
        <f t="array" ref="P124">IF('RATINGS QUESTION'!$K$5="YES","N/A", IF(C_TCowl1 S_MAX_CONT_B2,C_TCowl1 S_MAX_CONT_B2,""))</f>
        <v>#NAME?</v>
      </c>
      <c r="Q124" s="687"/>
      <c r="R124" s="686"/>
      <c r="S124" s="685" t="e" cm="1">
        <f t="array" ref="S124">IF('RATINGS QUESTION'!$K$5="YES","N/A", IF(C_TCowl1 S_Take_Off_B2,C_TCowl1 S_Take_Off_B2,""))</f>
        <v>#NAME?</v>
      </c>
      <c r="T124" s="687"/>
      <c r="U124" s="145"/>
    </row>
    <row r="125" spans="1:21" ht="12.75" customHeight="1" x14ac:dyDescent="0.2">
      <c r="A125" s="145"/>
      <c r="B125" s="145"/>
      <c r="C125" s="164" t="s">
        <v>372</v>
      </c>
      <c r="D125" s="164"/>
      <c r="E125" s="165" t="s">
        <v>333</v>
      </c>
      <c r="F125" s="165"/>
      <c r="G125" s="145"/>
      <c r="H125" s="685" t="e" cm="1">
        <f t="array" ref="H125">IF(C_TCowl2 S_Perf_GI,C_TCowl2 S_Perf_GI,"")</f>
        <v>#NAME?</v>
      </c>
      <c r="I125" s="686"/>
      <c r="J125" s="685" t="e" cm="1">
        <f t="array" ref="J125">IF(C_TCowl2 S_Perf_AI,C_TCowl2 S_Perf_AI,"")</f>
        <v>#NAME?</v>
      </c>
      <c r="K125" s="686"/>
      <c r="L125" s="685" t="e" cm="1">
        <f t="array" ref="L125">IF(C_TCowl2  S_MAX_CONT_B1,C_TCowl2  S_MAX_CONT_B1,"")</f>
        <v>#NAME?</v>
      </c>
      <c r="M125" s="686"/>
      <c r="N125" s="685" t="e" cm="1">
        <f t="array" ref="N125">IF(C_TCowl2  S_Take_Off_B1,C_TCowl2  S_Take_Off_B1,"")</f>
        <v>#NAME?</v>
      </c>
      <c r="O125" s="686"/>
      <c r="P125" s="685" t="e" cm="1">
        <f t="array" ref="P125">IF('RATINGS QUESTION'!$K$5="YES","N/A", IF(C_TCowl2 S_MAX_CONT_B2,C_TCowl2 S_MAX_CONT_B2,""))</f>
        <v>#NAME?</v>
      </c>
      <c r="Q125" s="687"/>
      <c r="R125" s="686"/>
      <c r="S125" s="685" t="e" cm="1">
        <f t="array" ref="S125">IF('RATINGS QUESTION'!$K$5="YES","N/A", IF(C_TCowl2 S_Take_Off_B2,C_TCowl2 S_Take_Off_B2,""))</f>
        <v>#NAME?</v>
      </c>
      <c r="T125" s="687"/>
      <c r="U125" s="145"/>
    </row>
    <row r="126" spans="1:21" x14ac:dyDescent="0.2">
      <c r="A126" s="145"/>
      <c r="B126" s="145"/>
      <c r="C126" s="164" t="s">
        <v>373</v>
      </c>
      <c r="D126" s="164"/>
      <c r="E126" s="165" t="s">
        <v>333</v>
      </c>
      <c r="F126" s="165"/>
      <c r="G126" s="145"/>
      <c r="H126" s="685" t="e" cm="1">
        <f t="array" ref="H126">IF(C_TCowl3 S_Perf_GI,C_TCowl3 S_Perf_GI,"")</f>
        <v>#NAME?</v>
      </c>
      <c r="I126" s="686"/>
      <c r="J126" s="685" t="e" cm="1">
        <f t="array" ref="J126">IF(C_TCowl3 S_Perf_AI,C_TCowl3 S_Perf_AI,"")</f>
        <v>#NAME?</v>
      </c>
      <c r="K126" s="686"/>
      <c r="L126" s="685" t="e" cm="1">
        <f t="array" ref="L126">IF(C_TCowl3  S_MAX_CONT_B1,C_TCowl3  S_MAX_CONT_B1,"")</f>
        <v>#NAME?</v>
      </c>
      <c r="M126" s="686"/>
      <c r="N126" s="685" t="e" cm="1">
        <f t="array" ref="N126">IF(C_TCowl3  S_Take_Off_B1,C_TCowl3  S_Take_Off_B1,"")</f>
        <v>#NAME?</v>
      </c>
      <c r="O126" s="686"/>
      <c r="P126" s="685" t="e" cm="1">
        <f t="array" ref="P126">IF('RATINGS QUESTION'!$K$5="YES","N/A", IF(C_TCowl3 S_MAX_CONT_B2,C_TCowl3 S_MAX_CONT_B2,""))</f>
        <v>#NAME?</v>
      </c>
      <c r="Q126" s="687"/>
      <c r="R126" s="686"/>
      <c r="S126" s="685" t="e" cm="1">
        <f t="array" ref="S126">IF('RATINGS QUESTION'!$K$5="YES","N/A", IF(C_TCowl3 S_Take_Off_B2,C_TCowl3 S_Take_Off_B2,""))</f>
        <v>#NAME?</v>
      </c>
      <c r="T126" s="687"/>
      <c r="U126" s="145"/>
    </row>
    <row r="127" spans="1:21" x14ac:dyDescent="0.2">
      <c r="A127" s="145"/>
      <c r="B127" s="145"/>
      <c r="C127" s="164" t="s">
        <v>374</v>
      </c>
      <c r="D127" s="164"/>
      <c r="E127" s="165" t="s">
        <v>333</v>
      </c>
      <c r="F127" s="165"/>
      <c r="G127" s="145"/>
      <c r="H127" s="685" t="e" cm="1">
        <f t="array" ref="H127">IF(C_TCowl4 S_Perf_GI,C_TCowl4 S_Perf_GI,"")</f>
        <v>#NAME?</v>
      </c>
      <c r="I127" s="686"/>
      <c r="J127" s="685" t="e" cm="1">
        <f t="array" ref="J127">IF(C_TCowl4 S_Perf_AI,C_TCowl4 S_Perf_AI,"")</f>
        <v>#NAME?</v>
      </c>
      <c r="K127" s="686"/>
      <c r="L127" s="685" t="e" cm="1">
        <f t="array" ref="L127">IF(C_TCowl4  S_MAX_CONT_B1,C_TCowl4  S_MAX_CONT_B1,"")</f>
        <v>#NAME?</v>
      </c>
      <c r="M127" s="686"/>
      <c r="N127" s="685" t="e" cm="1">
        <f t="array" ref="N127">IF(C_TCowl4  S_Take_Off_B1,C_TCowl4  S_Take_Off_B1,"")</f>
        <v>#NAME?</v>
      </c>
      <c r="O127" s="686"/>
      <c r="P127" s="685" t="e" cm="1">
        <f t="array" ref="P127">IF('RATINGS QUESTION'!$K$5="YES","N/A", IF(C_TCowl4 S_MAX_CONT_B2,C_TCowl4 S_MAX_CONT_B2,""))</f>
        <v>#NAME?</v>
      </c>
      <c r="Q127" s="687"/>
      <c r="R127" s="686"/>
      <c r="S127" s="685" t="e" cm="1">
        <f t="array" ref="S127">IF('RATINGS QUESTION'!$K$5="YES","N/A", IF(C_TCowl4 S_Take_Off_B2,C_TCowl4 S_Take_Off_B2,""))</f>
        <v>#NAME?</v>
      </c>
      <c r="T127" s="687"/>
      <c r="U127" s="145"/>
    </row>
    <row r="128" spans="1:21" x14ac:dyDescent="0.2">
      <c r="A128" s="145"/>
      <c r="B128" s="145"/>
      <c r="C128" s="164" t="s">
        <v>375</v>
      </c>
      <c r="D128" s="164"/>
      <c r="E128" s="165" t="s">
        <v>333</v>
      </c>
      <c r="F128" s="165"/>
      <c r="G128" s="145"/>
      <c r="H128" s="685" t="e" cm="1">
        <f t="array" ref="H128">IF(C_TCowl5 S_Perf_GI,C_TCowl5 S_Perf_GI,"")</f>
        <v>#NAME?</v>
      </c>
      <c r="I128" s="686"/>
      <c r="J128" s="685" t="e" cm="1">
        <f t="array" ref="J128">IF(C_TCowl5 S_Perf_AI,C_TCowl5 S_Perf_AI,"")</f>
        <v>#NAME?</v>
      </c>
      <c r="K128" s="686"/>
      <c r="L128" s="685" t="e" cm="1">
        <f t="array" ref="L128">IF(C_TCowl5  S_MAX_CONT_B1,C_TCowl5  S_MAX_CONT_B1,"")</f>
        <v>#NAME?</v>
      </c>
      <c r="M128" s="686"/>
      <c r="N128" s="685" t="e" cm="1">
        <f t="array" ref="N128">IF(C_TCowl5  S_Take_Off_B1,C_TCowl5  S_Take_Off_B1,"")</f>
        <v>#NAME?</v>
      </c>
      <c r="O128" s="686"/>
      <c r="P128" s="685" t="e" cm="1">
        <f t="array" ref="P128">IF('RATINGS QUESTION'!$K$5="YES","N/A", IF(C_TCowl5 S_MAX_CONT_B2,C_TCowl5 S_MAX_CONT_B2,""))</f>
        <v>#NAME?</v>
      </c>
      <c r="Q128" s="687"/>
      <c r="R128" s="686"/>
      <c r="S128" s="685" t="e" cm="1">
        <f t="array" ref="S128">IF('RATINGS QUESTION'!$K$5="YES","N/A", IF(C_TCowl5 S_Take_Off_B2,C_TCowl5 S_Take_Off_B2,""))</f>
        <v>#NAME?</v>
      </c>
      <c r="T128" s="687"/>
      <c r="U128" s="145"/>
    </row>
    <row r="129" spans="1:21" x14ac:dyDescent="0.2">
      <c r="A129" s="145"/>
      <c r="B129" s="145"/>
      <c r="C129" s="164" t="s">
        <v>376</v>
      </c>
      <c r="D129" s="164"/>
      <c r="E129" s="165" t="s">
        <v>333</v>
      </c>
      <c r="F129" s="165"/>
      <c r="G129" s="145"/>
      <c r="H129" s="685" t="e" cm="1">
        <f t="array" ref="H129">IF(C_TCowl6 S_Perf_GI,C_TCowl6 S_Perf_GI,"")</f>
        <v>#NAME?</v>
      </c>
      <c r="I129" s="686"/>
      <c r="J129" s="685" t="e" cm="1">
        <f t="array" ref="J129">IF(C_TCowl6 S_Perf_AI,C_TCowl6 S_Perf_AI,"")</f>
        <v>#NAME?</v>
      </c>
      <c r="K129" s="686"/>
      <c r="L129" s="685" t="e" cm="1">
        <f t="array" ref="L129">IF(C_TCowl6  S_MAX_CONT_B1,C_TCowl6  S_MAX_CONT_B1,"")</f>
        <v>#NAME?</v>
      </c>
      <c r="M129" s="686"/>
      <c r="N129" s="685" t="e" cm="1">
        <f t="array" ref="N129">IF(C_TCowl6  S_Take_Off_B1,C_TCowl6  S_Take_Off_B1,"")</f>
        <v>#NAME?</v>
      </c>
      <c r="O129" s="686"/>
      <c r="P129" s="685" t="e" cm="1">
        <f t="array" ref="P129">IF('RATINGS QUESTION'!$K$5="YES","N/A", IF(C_TCowl6 S_MAX_CONT_B2,C_TCowl6 S_MAX_CONT_B2,""))</f>
        <v>#NAME?</v>
      </c>
      <c r="Q129" s="687"/>
      <c r="R129" s="686"/>
      <c r="S129" s="685" t="e" cm="1">
        <f t="array" ref="S129">IF('RATINGS QUESTION'!$K$5="YES","N/A", IF(C_TCowl6 S_Take_Off_B2,C_TCowl6 S_Take_Off_B2,""))</f>
        <v>#NAME?</v>
      </c>
      <c r="T129" s="687"/>
      <c r="U129" s="145"/>
    </row>
    <row r="130" spans="1:21" x14ac:dyDescent="0.2">
      <c r="A130" s="145"/>
      <c r="B130" s="145"/>
      <c r="C130" s="164" t="s">
        <v>377</v>
      </c>
      <c r="D130" s="164"/>
      <c r="E130" s="165" t="s">
        <v>333</v>
      </c>
      <c r="F130" s="165"/>
      <c r="G130" s="145"/>
      <c r="H130" s="685" t="e" cm="1">
        <f t="array" ref="H130">IF(C_TCowl7 S_Perf_GI,C_TCowl7 S_Perf_GI,"")</f>
        <v>#NAME?</v>
      </c>
      <c r="I130" s="686"/>
      <c r="J130" s="685" t="e" cm="1">
        <f t="array" ref="J130">IF(C_TCowl7 S_Perf_AI,C_TCowl7 S_Perf_AI,"")</f>
        <v>#NAME?</v>
      </c>
      <c r="K130" s="686"/>
      <c r="L130" s="685" t="e" cm="1">
        <f t="array" ref="L130">IF(C_TCowl7  S_MAX_CONT_B1,C_TCowl7  S_MAX_CONT_B1,"")</f>
        <v>#NAME?</v>
      </c>
      <c r="M130" s="686"/>
      <c r="N130" s="685" t="e" cm="1">
        <f t="array" ref="N130">IF(C_TCowl7  S_Take_Off_B1,C_TCowl7  S_Take_Off_B1,"")</f>
        <v>#NAME?</v>
      </c>
      <c r="O130" s="686"/>
      <c r="P130" s="685" t="e" cm="1">
        <f t="array" ref="P130">IF('RATINGS QUESTION'!$K$5="YES","N/A", IF(C_TCowl7 S_MAX_CONT_B2,C_TCowl7 S_MAX_CONT_B2,""))</f>
        <v>#NAME?</v>
      </c>
      <c r="Q130" s="687"/>
      <c r="R130" s="686"/>
      <c r="S130" s="685" t="e" cm="1">
        <f t="array" ref="S130">IF('RATINGS QUESTION'!$K$5="YES","N/A", IF(C_TCowl7 S_Take_Off_B2,C_TCowl7 S_Take_Off_B2,""))</f>
        <v>#NAME?</v>
      </c>
      <c r="T130" s="687"/>
      <c r="U130" s="145"/>
    </row>
    <row r="131" spans="1:21" x14ac:dyDescent="0.2">
      <c r="A131" s="145"/>
      <c r="B131" s="145"/>
      <c r="C131" s="164" t="s">
        <v>378</v>
      </c>
      <c r="D131" s="164"/>
      <c r="E131" s="165" t="s">
        <v>333</v>
      </c>
      <c r="F131" s="165"/>
      <c r="G131" s="145"/>
      <c r="H131" s="685" t="e" cm="1">
        <f t="array" ref="H131">IF(C_TCowl8 S_Perf_GI,C_TCowl8 S_Perf_GI,"")</f>
        <v>#NAME?</v>
      </c>
      <c r="I131" s="686"/>
      <c r="J131" s="685" t="e" cm="1">
        <f t="array" ref="J131">IF(C_TCowl8 S_Perf_AI,C_TCowl8 S_Perf_AI,"")</f>
        <v>#NAME?</v>
      </c>
      <c r="K131" s="686"/>
      <c r="L131" s="685" t="e" cm="1">
        <f t="array" ref="L131">IF(C_TCowl8  S_MAX_CONT_B1,C_TCowl8  S_MAX_CONT_B1,"")</f>
        <v>#NAME?</v>
      </c>
      <c r="M131" s="686"/>
      <c r="N131" s="685" t="e" cm="1">
        <f t="array" ref="N131">IF(C_TCowl8  S_Take_Off_B1,C_TCowl8  S_Take_Off_B1,"")</f>
        <v>#NAME?</v>
      </c>
      <c r="O131" s="686"/>
      <c r="P131" s="685" t="e" cm="1">
        <f t="array" ref="P131">IF('RATINGS QUESTION'!$K$5="YES","N/A", IF(C_TCowl8 S_MAX_CONT_B2,C_TCowl8 S_MAX_CONT_B2,""))</f>
        <v>#NAME?</v>
      </c>
      <c r="Q131" s="687"/>
      <c r="R131" s="686"/>
      <c r="S131" s="685" t="e" cm="1">
        <f t="array" ref="S131">IF('RATINGS QUESTION'!$K$5="YES","N/A", IF(C_TCowl8 S_Take_Off_B2,C_TCowl8 S_Take_Off_B2,""))</f>
        <v>#NAME?</v>
      </c>
      <c r="T131" s="687"/>
      <c r="U131" s="145"/>
    </row>
    <row r="132" spans="1:21" ht="12.75" customHeight="1" x14ac:dyDescent="0.2">
      <c r="A132" s="145"/>
      <c r="B132" s="145"/>
      <c r="C132" s="164" t="s">
        <v>426</v>
      </c>
      <c r="D132" s="164"/>
      <c r="E132" s="165" t="s">
        <v>333</v>
      </c>
      <c r="F132" s="165"/>
      <c r="G132" s="211"/>
      <c r="H132" s="685" t="e" cm="1">
        <f t="array" ref="H132">IF(C_TCowl9 S_Perf_GI,C_TCowl9 S_Perf_GI,"")</f>
        <v>#NAME?</v>
      </c>
      <c r="I132" s="686"/>
      <c r="J132" s="685" t="e" cm="1">
        <f t="array" ref="J132">IF(C_TCowl9 S_Perf_AI,C_TCowl9 S_Perf_AI,"")</f>
        <v>#NAME?</v>
      </c>
      <c r="K132" s="686"/>
      <c r="L132" s="685" t="e" cm="1">
        <f t="array" ref="L132">IF(C_TCowl9  S_MAX_CONT_B1,C_TCowl9  S_MAX_CONT_B1,"")</f>
        <v>#NAME?</v>
      </c>
      <c r="M132" s="686"/>
      <c r="N132" s="685" t="e" cm="1">
        <f t="array" ref="N132">IF(C_TCowl9  S_Take_Off_B1,C_TCowl9  S_Take_Off_B1,"")</f>
        <v>#NAME?</v>
      </c>
      <c r="O132" s="686"/>
      <c r="P132" s="685" t="e" cm="1">
        <f t="array" ref="P132">IF('RATINGS QUESTION'!$K$5="YES","N/A", IF(C_TCowl9 S_MAX_CONT_B2,C_TCowl9 S_MAX_CONT_B2,""))</f>
        <v>#NAME?</v>
      </c>
      <c r="Q132" s="687"/>
      <c r="R132" s="686"/>
      <c r="S132" s="685" t="e" cm="1">
        <f t="array" ref="S132">IF('RATINGS QUESTION'!$K$5="YES","N/A", IF(C_TCowl9 S_Take_Off_B2,C_TCowl9 S_Take_Off_B2,""))</f>
        <v>#NAME?</v>
      </c>
      <c r="T132" s="687"/>
      <c r="U132" s="145"/>
    </row>
    <row r="133" spans="1:21" ht="12.75" customHeight="1" x14ac:dyDescent="0.2">
      <c r="A133" s="145"/>
      <c r="B133" s="145"/>
      <c r="C133" s="164" t="s">
        <v>427</v>
      </c>
      <c r="D133" s="164"/>
      <c r="E133" s="165" t="s">
        <v>333</v>
      </c>
      <c r="F133" s="165"/>
      <c r="G133" s="162"/>
      <c r="H133" s="685" t="e" cm="1">
        <f t="array" ref="H133">IF(C_TCowl10 S_Perf_GI,C_TCowl10 S_Perf_GI,"")</f>
        <v>#NAME?</v>
      </c>
      <c r="I133" s="686"/>
      <c r="J133" s="685" t="e" cm="1">
        <f t="array" ref="J133">IF(C_TCowl10 S_Perf_AI,C_TCowl10 S_Perf_AI,"")</f>
        <v>#NAME?</v>
      </c>
      <c r="K133" s="686"/>
      <c r="L133" s="685" t="e" cm="1">
        <f t="array" ref="L133">IF(C_TCowl10  S_MAX_CONT_B1,C_TCowl10  S_MAX_CONT_B1,"")</f>
        <v>#NAME?</v>
      </c>
      <c r="M133" s="686"/>
      <c r="N133" s="685" t="e" cm="1">
        <f t="array" ref="N133">IF(C_TCowl10  S_Take_Off_B1,C_TCowl10  S_Take_Off_B1,"")</f>
        <v>#NAME?</v>
      </c>
      <c r="O133" s="686"/>
      <c r="P133" s="685" t="e" cm="1">
        <f t="array" ref="P133">IF('RATINGS QUESTION'!$K$5="YES","N/A", IF(C_TCowl10 S_MAX_CONT_B2,C_TCowl10 S_MAX_CONT_B2,""))</f>
        <v>#NAME?</v>
      </c>
      <c r="Q133" s="687"/>
      <c r="R133" s="686"/>
      <c r="S133" s="685" t="e" cm="1">
        <f t="array" ref="S133">IF('RATINGS QUESTION'!$K$5="YES","N/A", IF(C_TCowl10 S_Take_Off_B2,C_TCowl10 S_Take_Off_B2,""))</f>
        <v>#NAME?</v>
      </c>
      <c r="T133" s="687"/>
      <c r="U133" s="145"/>
    </row>
    <row r="134" spans="1:21" x14ac:dyDescent="0.2">
      <c r="A134" s="145"/>
      <c r="B134" s="145"/>
      <c r="C134" s="164" t="s">
        <v>122</v>
      </c>
      <c r="D134" s="164"/>
      <c r="E134" s="225" t="s">
        <v>333</v>
      </c>
      <c r="F134" s="225"/>
      <c r="G134" s="145"/>
      <c r="H134" s="720" t="e" cm="1">
        <f t="array" ref="H134">IF(C_T54 S_Perf_GI&lt;C_T5_SEL_A S_Perf_GI,"N/A",C_T54 S_Perf_GI)</f>
        <v>#NAME?</v>
      </c>
      <c r="I134" s="721"/>
      <c r="J134" s="720" t="e" cm="1">
        <f t="array" ref="J134">IF(C_T54 S_Perf_AI&lt;C_T5_SEL_A S_Perf_AI,"N/A",C_T54 S_Perf_AI)</f>
        <v>#NAME?</v>
      </c>
      <c r="K134" s="721"/>
      <c r="L134" s="720" t="e" cm="1">
        <f t="array" ref="L134">IF(C_T54 S_MAX_CONT_B1&lt;C_T5_SEL_A S_MAX_CONT_B1,"N/A",C_T54 S_MAX_CONT_B1)</f>
        <v>#NAME?</v>
      </c>
      <c r="M134" s="721"/>
      <c r="N134" s="720" t="e" cm="1">
        <f t="array" ref="N134">IF(C_T54 S_Take_Off_B1&lt;C_T5_SEL_A S_Take_Off_B1,"N/A",C_T54 S_Take_Off_B1)</f>
        <v>#NAME?</v>
      </c>
      <c r="O134" s="721"/>
      <c r="P134" s="720" t="e" cm="1">
        <f t="array" ref="P134">IF('RATINGS QUESTION'!$K$5="YES","N/A",IF(C_T54 S_MAX_CONT_B2&lt;C_T5_SEL_A S_MAX_CONT_B2,"N/A",C_T54 S_MAX_CONT_B2))</f>
        <v>#NAME?</v>
      </c>
      <c r="Q134" s="724"/>
      <c r="R134" s="721"/>
      <c r="S134" s="720" t="e" cm="1">
        <f t="array" ref="S134">IF('RATINGS QUESTION'!$K$5="YES","N/A",IF(C_T54 S_Take_Off_B2&lt;C_T5_SEL_A S_Take_Off_B2,"N/A",C_T54 S_Take_Off_B2))</f>
        <v>#NAME?</v>
      </c>
      <c r="T134" s="724"/>
      <c r="U134" s="145"/>
    </row>
    <row r="135" spans="1:21" x14ac:dyDescent="0.2">
      <c r="A135" s="145"/>
      <c r="B135" s="145"/>
      <c r="C135" s="164" t="s">
        <v>28</v>
      </c>
      <c r="D135" s="164"/>
      <c r="E135" s="165" t="s">
        <v>333</v>
      </c>
      <c r="F135" s="165"/>
      <c r="G135" s="145"/>
      <c r="H135" s="685" t="e" cm="1">
        <f t="array" ref="H135">IF(C_TOil S_Perf_GI,C_TOil S_Perf_GI,"")</f>
        <v>#NAME?</v>
      </c>
      <c r="I135" s="686"/>
      <c r="J135" s="685" t="e" cm="1">
        <f t="array" ref="J135">IF(C_TOil S_Perf_AI,C_TOil S_Perf_AI,"")</f>
        <v>#NAME?</v>
      </c>
      <c r="K135" s="686"/>
      <c r="L135" s="685" t="e" cm="1">
        <f t="array" ref="L135">IF(C_TOil  S_MAX_CONT_B1,C_TOil  S_MAX_CONT_B1,"")</f>
        <v>#NAME?</v>
      </c>
      <c r="M135" s="686"/>
      <c r="N135" s="685" t="e" cm="1">
        <f t="array" ref="N135">IF(C_TOil  S_Take_Off_B1,C_TOil  S_Take_Off_B1,"")</f>
        <v>#NAME?</v>
      </c>
      <c r="O135" s="686"/>
      <c r="P135" s="685" t="e" cm="1">
        <f t="array" ref="P135">IF('RATINGS QUESTION'!$K$5="YES","N/A", IF(C_TOil S_MAX_CONT_B2,C_TOil S_MAX_CONT_B2,""))</f>
        <v>#NAME?</v>
      </c>
      <c r="Q135" s="687"/>
      <c r="R135" s="686"/>
      <c r="S135" s="685" t="e" cm="1">
        <f t="array" ref="S135">IF('RATINGS QUESTION'!$K$5="YES","N/A", IF(C_TOil S_Take_Off_B2,C_TOil S_Take_Off_B2,""))</f>
        <v>#NAME?</v>
      </c>
      <c r="T135" s="687"/>
      <c r="U135" s="145"/>
    </row>
    <row r="136" spans="1:21" x14ac:dyDescent="0.2">
      <c r="A136" s="145"/>
      <c r="B136" s="145"/>
      <c r="C136" s="164" t="s">
        <v>159</v>
      </c>
      <c r="D136" s="164"/>
      <c r="E136" s="225" t="s">
        <v>333</v>
      </c>
      <c r="F136" s="225"/>
      <c r="G136" s="145"/>
      <c r="H136" s="685" t="e" cm="1">
        <f t="array" ref="H136">IF(C_TSCAV S_Perf_GI,C_TSCAV S_Perf_GI,"")</f>
        <v>#NAME?</v>
      </c>
      <c r="I136" s="686"/>
      <c r="J136" s="685" t="e" cm="1">
        <f t="array" ref="J136">IF(C_TSCAV S_Perf_AI,C_TSCAV S_Perf_AI,"")</f>
        <v>#NAME?</v>
      </c>
      <c r="K136" s="686"/>
      <c r="L136" s="685" t="e" cm="1">
        <f t="array" ref="L136">IF(C_TSCAV  S_MAX_CONT_B1,C_TSCAV  S_MAX_CONT_B1,"")</f>
        <v>#NAME?</v>
      </c>
      <c r="M136" s="686"/>
      <c r="N136" s="685" t="e" cm="1">
        <f t="array" ref="N136">IF(C_TSCAV  S_Take_Off_B1,C_TSCAV  S_Take_Off_B1,"")</f>
        <v>#NAME?</v>
      </c>
      <c r="O136" s="686"/>
      <c r="P136" s="685" t="e" cm="1">
        <f t="array" ref="P136">IF('RATINGS QUESTION'!$K$5="YES","N/A", IF(C_TSCAV S_MAX_CONT_B2,C_TSCAV S_MAX_CONT_B2,""))</f>
        <v>#NAME?</v>
      </c>
      <c r="Q136" s="687"/>
      <c r="R136" s="686"/>
      <c r="S136" s="685" t="e" cm="1">
        <f t="array" ref="S136">IF('RATINGS QUESTION'!$K$5="YES","N/A", IF(C_TSCAV S_Take_Off_B2,C_TSCAV S_Take_Off_B2,""))</f>
        <v>#NAME?</v>
      </c>
      <c r="T136" s="687"/>
      <c r="U136" s="145"/>
    </row>
    <row r="137" spans="1:21" ht="12.75" customHeight="1" thickBot="1" x14ac:dyDescent="0.25">
      <c r="A137" s="145"/>
      <c r="B137" s="145"/>
      <c r="C137" s="145"/>
      <c r="D137" s="145"/>
      <c r="E137" s="145"/>
      <c r="F137" s="145"/>
      <c r="G137" s="145"/>
      <c r="H137" s="279"/>
      <c r="I137" s="81"/>
      <c r="J137" s="279"/>
      <c r="K137" s="171"/>
      <c r="L137" s="281"/>
      <c r="M137" s="171"/>
      <c r="N137" s="279"/>
      <c r="O137" s="171"/>
      <c r="P137" s="279"/>
      <c r="Q137" s="81"/>
      <c r="R137" s="171"/>
      <c r="S137" s="279"/>
      <c r="T137" s="81"/>
      <c r="U137" s="81"/>
    </row>
    <row r="138" spans="1:21" s="221" customFormat="1" ht="16.5" customHeight="1" thickBot="1" x14ac:dyDescent="0.25">
      <c r="A138" s="220"/>
      <c r="B138" s="691" t="s">
        <v>582</v>
      </c>
      <c r="C138" s="692"/>
      <c r="D138" s="692"/>
      <c r="E138" s="692"/>
      <c r="F138" s="692"/>
      <c r="G138" s="693"/>
      <c r="H138" s="282"/>
      <c r="I138" s="282"/>
      <c r="J138" s="283"/>
      <c r="K138" s="284"/>
      <c r="L138" s="285"/>
      <c r="M138" s="286"/>
      <c r="N138" s="285"/>
      <c r="O138" s="286"/>
      <c r="P138" s="285"/>
      <c r="Q138" s="272"/>
      <c r="R138" s="286"/>
      <c r="S138" s="285"/>
      <c r="T138" s="272"/>
      <c r="U138" s="190"/>
    </row>
    <row r="139" spans="1:21" ht="12.75" customHeight="1" x14ac:dyDescent="0.2">
      <c r="A139" s="145"/>
      <c r="B139" s="145"/>
      <c r="C139" s="145"/>
      <c r="D139" s="145"/>
      <c r="E139" s="145"/>
      <c r="F139" s="145"/>
      <c r="G139" s="145"/>
      <c r="H139" s="287"/>
      <c r="I139" s="288"/>
      <c r="J139" s="287"/>
      <c r="K139" s="289"/>
      <c r="L139" s="290"/>
      <c r="M139" s="291"/>
      <c r="N139" s="290"/>
      <c r="O139" s="291"/>
      <c r="P139" s="290"/>
      <c r="Q139" s="151"/>
      <c r="R139" s="291"/>
      <c r="S139" s="290"/>
      <c r="T139" s="151"/>
      <c r="U139" s="151"/>
    </row>
    <row r="140" spans="1:21" ht="12.75" customHeight="1" x14ac:dyDescent="0.2">
      <c r="A140" s="145"/>
      <c r="B140" s="145"/>
      <c r="C140" s="164" t="s">
        <v>379</v>
      </c>
      <c r="D140" s="164"/>
      <c r="E140" s="165" t="s">
        <v>380</v>
      </c>
      <c r="F140" s="165"/>
      <c r="G140" s="222"/>
      <c r="H140" s="685" t="e" cm="1">
        <f t="array" ref="H140">IF(C_PAMB1 S_Perf_GI,C_PAMB1 S_Perf_GI,"")</f>
        <v>#NAME?</v>
      </c>
      <c r="I140" s="686"/>
      <c r="J140" s="685" t="e" cm="1">
        <f t="array" ref="J140">IF(C_PAMB1 S_Perf_AI,C_PAMB1 S_Perf_AI,"")</f>
        <v>#NAME?</v>
      </c>
      <c r="K140" s="686"/>
      <c r="L140" s="685" t="e" cm="1">
        <f t="array" ref="L140">IF(C_PAMB1  S_MAX_CONT_B1,C_PAMB1  S_MAX_CONT_B1,"")</f>
        <v>#NAME?</v>
      </c>
      <c r="M140" s="686"/>
      <c r="N140" s="685" t="e" cm="1">
        <f t="array" ref="N140">IF(C_PAMB1  S_Take_Off_B1,C_PAMB1  S_Take_Off_B1,"")</f>
        <v>#NAME?</v>
      </c>
      <c r="O140" s="686"/>
      <c r="P140" s="685" t="e" cm="1">
        <f t="array" ref="P140">IF('RATINGS QUESTION'!$K$5="YES","N/A", IF(C_PAMB1 S_MAX_CONT_B2,C_PAMB1 S_MAX_CONT_B2,""))</f>
        <v>#NAME?</v>
      </c>
      <c r="Q140" s="687"/>
      <c r="R140" s="686"/>
      <c r="S140" s="685" t="e" cm="1">
        <f t="array" ref="S140">IF('RATINGS QUESTION'!$K$5="YES","N/A", IF(C_PAMB1 S_Take_Off_B2,C_PAMB1 S_Take_Off_B2,""))</f>
        <v>#NAME?</v>
      </c>
      <c r="T140" s="687"/>
      <c r="U140" s="151"/>
    </row>
    <row r="141" spans="1:21" ht="12.75" customHeight="1" x14ac:dyDescent="0.2">
      <c r="A141" s="145"/>
      <c r="B141" s="145"/>
      <c r="C141" s="164" t="s">
        <v>381</v>
      </c>
      <c r="D141" s="164"/>
      <c r="E141" s="165" t="s">
        <v>380</v>
      </c>
      <c r="F141" s="165"/>
      <c r="G141" s="162"/>
      <c r="H141" s="685" t="e" cm="1">
        <f t="array" ref="H141">IF(C_PAMB2 S_Perf_GI,C_PAMB2 S_Perf_GI,"")</f>
        <v>#NAME?</v>
      </c>
      <c r="I141" s="686"/>
      <c r="J141" s="685" t="e" cm="1">
        <f t="array" ref="J141">IF(C_PAMB2 S_Perf_AI,C_PAMB2 S_Perf_AI,"")</f>
        <v>#NAME?</v>
      </c>
      <c r="K141" s="686"/>
      <c r="L141" s="685" t="e" cm="1">
        <f t="array" ref="L141">IF(C_PAMB2  S_MAX_CONT_B1,C_PAMB2  S_MAX_CONT_B1,"")</f>
        <v>#NAME?</v>
      </c>
      <c r="M141" s="686"/>
      <c r="N141" s="685" t="e" cm="1">
        <f t="array" ref="N141">IF(C_PAMB2  S_Take_Off_B1,C_PAMB2  S_Take_Off_B1,"")</f>
        <v>#NAME?</v>
      </c>
      <c r="O141" s="686"/>
      <c r="P141" s="685" t="e" cm="1">
        <f t="array" ref="P141">IF('RATINGS QUESTION'!$K$5="YES","N/A", IF(C_PAMB2 S_MAX_CONT_B2,C_PAMB2 S_MAX_CONT_B2,""))</f>
        <v>#NAME?</v>
      </c>
      <c r="Q141" s="687"/>
      <c r="R141" s="686"/>
      <c r="S141" s="685" t="e" cm="1">
        <f t="array" ref="S141">IF('RATINGS QUESTION'!$K$5="YES","N/A", IF(C_PAMB2 S_Take_Off_B2,C_PAMB2 S_Take_Off_B2,""))</f>
        <v>#NAME?</v>
      </c>
      <c r="T141" s="687"/>
      <c r="U141" s="151"/>
    </row>
    <row r="142" spans="1:21" ht="12.75" customHeight="1" x14ac:dyDescent="0.2">
      <c r="A142" s="145"/>
      <c r="B142" s="145"/>
      <c r="C142" s="164" t="s">
        <v>39</v>
      </c>
      <c r="D142" s="164"/>
      <c r="E142" s="165" t="s">
        <v>380</v>
      </c>
      <c r="F142" s="165"/>
      <c r="G142" s="145"/>
      <c r="H142" s="685" t="e" cm="1">
        <f t="array" ref="H142">IF(C_P_Cell_Front S_Perf_GI,C_P_Cell_Front S_Perf_GI,"")</f>
        <v>#NAME?</v>
      </c>
      <c r="I142" s="686"/>
      <c r="J142" s="685" t="e" cm="1">
        <f t="array" ref="J142">IF(C_P_Cell_Front S_Perf_AI,C_P_Cell_Front S_Perf_AI,"")</f>
        <v>#NAME?</v>
      </c>
      <c r="K142" s="686"/>
      <c r="L142" s="685" t="e" cm="1">
        <f t="array" ref="L142">IF(C_P_Cell_Front  S_MAX_CONT_B1,C_P_Cell_Front  S_MAX_CONT_B1,"")</f>
        <v>#NAME?</v>
      </c>
      <c r="M142" s="686"/>
      <c r="N142" s="685" t="e" cm="1">
        <f t="array" ref="N142">IF(C_P_Cell_Front  S_Take_Off_B1,C_P_Cell_Front  S_Take_Off_B1,"")</f>
        <v>#NAME?</v>
      </c>
      <c r="O142" s="686"/>
      <c r="P142" s="685" t="e" cm="1">
        <f t="array" ref="P142">IF('RATINGS QUESTION'!$K$5="YES","N/A", IF(C_P_Cell_Front S_MAX_CONT_B2,C_P_Cell_Front S_MAX_CONT_B2,""))</f>
        <v>#NAME?</v>
      </c>
      <c r="Q142" s="687"/>
      <c r="R142" s="686"/>
      <c r="S142" s="685" t="e" cm="1">
        <f t="array" ref="S142">IF('RATINGS QUESTION'!$K$5="YES","N/A", IF(C_P_Cell_Front S_Take_Off_B2,C_P_Cell_Front S_Take_Off_B2,""))</f>
        <v>#NAME?</v>
      </c>
      <c r="T142" s="687"/>
      <c r="U142" s="151"/>
    </row>
    <row r="143" spans="1:21" ht="12.75" customHeight="1" x14ac:dyDescent="0.2">
      <c r="A143" s="145"/>
      <c r="B143" s="145"/>
      <c r="C143" s="164" t="s">
        <v>41</v>
      </c>
      <c r="D143" s="164"/>
      <c r="E143" s="165" t="s">
        <v>380</v>
      </c>
      <c r="F143" s="165"/>
      <c r="G143" s="145"/>
      <c r="H143" s="685" t="e" cm="1">
        <f t="array" ref="H143">IF(C_P_Cell_Rear S_Perf_GI,C_P_Cell_Rear S_Perf_GI,"")</f>
        <v>#NAME?</v>
      </c>
      <c r="I143" s="686"/>
      <c r="J143" s="685" t="e" cm="1">
        <f t="array" ref="J143">IF(C_P_Cell_Rear S_Perf_AI,C_P_Cell_Rear S_Perf_AI,"")</f>
        <v>#NAME?</v>
      </c>
      <c r="K143" s="686"/>
      <c r="L143" s="685" t="e" cm="1">
        <f t="array" ref="L143">IF(C_P_Cell_Rear  S_MAX_CONT_B1,C_P_Cell_Rear  S_MAX_CONT_B1,"")</f>
        <v>#NAME?</v>
      </c>
      <c r="M143" s="686"/>
      <c r="N143" s="685" t="e" cm="1">
        <f t="array" ref="N143">IF(C_P_Cell_Rear  S_Take_Off_B1,C_P_Cell_Rear  S_Take_Off_B1,"")</f>
        <v>#NAME?</v>
      </c>
      <c r="O143" s="686"/>
      <c r="P143" s="685" t="e" cm="1">
        <f t="array" ref="P143">IF('RATINGS QUESTION'!$K$5="YES","N/A", IF(C_P_Cell_Rear S_MAX_CONT_B2,C_P_Cell_Rear S_MAX_CONT_B2,""))</f>
        <v>#NAME?</v>
      </c>
      <c r="Q143" s="687"/>
      <c r="R143" s="686"/>
      <c r="S143" s="685" t="e" cm="1">
        <f t="array" ref="S143">IF('RATINGS QUESTION'!$K$5="YES","N/A", IF(C_P_Cell_Rear S_Take_Off_B2,C_P_Cell_Rear S_Take_Off_B2,""))</f>
        <v>#NAME?</v>
      </c>
      <c r="T143" s="687"/>
      <c r="U143" s="151"/>
    </row>
    <row r="144" spans="1:21" ht="12.75" customHeight="1" x14ac:dyDescent="0.2">
      <c r="A144" s="145"/>
      <c r="B144" s="145"/>
      <c r="C144" s="164" t="s">
        <v>51</v>
      </c>
      <c r="D144" s="164"/>
      <c r="E144" s="165" t="s">
        <v>380</v>
      </c>
      <c r="F144" s="165"/>
      <c r="G144" s="145"/>
      <c r="H144" s="685" t="e" cm="1">
        <f t="array" ref="H144">IF(C_PS2W1 S_Perf_GI,C_PS2W1 S_Perf_GI,"")</f>
        <v>#NAME?</v>
      </c>
      <c r="I144" s="686"/>
      <c r="J144" s="685" t="e" cm="1">
        <f t="array" ref="J144">IF(C_PS2W1 S_Perf_AI,C_PS2W1 S_Perf_AI,"")</f>
        <v>#NAME?</v>
      </c>
      <c r="K144" s="686"/>
      <c r="L144" s="685" t="e" cm="1">
        <f t="array" ref="L144">IF(C_PS2W1  S_MAX_CONT_B1,C_PS2W1  S_MAX_CONT_B1,"")</f>
        <v>#NAME?</v>
      </c>
      <c r="M144" s="686"/>
      <c r="N144" s="685" t="e" cm="1">
        <f t="array" ref="N144">IF(C_PS2W1  S_Take_Off_B1,C_PS2W1  S_Take_Off_B1,"")</f>
        <v>#NAME?</v>
      </c>
      <c r="O144" s="686"/>
      <c r="P144" s="685" t="e" cm="1">
        <f t="array" ref="P144">IF('RATINGS QUESTION'!$K$5="YES","N/A", IF(C_PS2W1 S_MAX_CONT_B2,C_PS2W1 S_MAX_CONT_B2,""))</f>
        <v>#NAME?</v>
      </c>
      <c r="Q144" s="687"/>
      <c r="R144" s="686"/>
      <c r="S144" s="685" t="e" cm="1">
        <f t="array" ref="S144">IF('RATINGS QUESTION'!$K$5="YES","N/A", IF(C_PS2W1 S_Take_Off_B2,C_PS2W1 S_Take_Off_B2,""))</f>
        <v>#NAME?</v>
      </c>
      <c r="T144" s="687"/>
      <c r="U144" s="151"/>
    </row>
    <row r="145" spans="1:21" ht="12.75" customHeight="1" x14ac:dyDescent="0.2">
      <c r="A145" s="145"/>
      <c r="B145" s="145"/>
      <c r="C145" s="164" t="s">
        <v>52</v>
      </c>
      <c r="D145" s="164"/>
      <c r="E145" s="165" t="s">
        <v>380</v>
      </c>
      <c r="F145" s="165"/>
      <c r="G145" s="145"/>
      <c r="H145" s="685" t="e" cm="1">
        <f t="array" ref="H145">IF(C_PS2W2 S_Perf_GI,C_PS2W2 S_Perf_GI,"")</f>
        <v>#NAME?</v>
      </c>
      <c r="I145" s="686"/>
      <c r="J145" s="685" t="e" cm="1">
        <f t="array" ref="J145">IF(C_PS2W2 S_Perf_AI,C_PS2W2 S_Perf_AI,"")</f>
        <v>#NAME?</v>
      </c>
      <c r="K145" s="686"/>
      <c r="L145" s="685" t="e" cm="1">
        <f t="array" ref="L145">IF(C_PS2W2  S_MAX_CONT_B1,C_PS2W2  S_MAX_CONT_B1,"")</f>
        <v>#NAME?</v>
      </c>
      <c r="M145" s="686"/>
      <c r="N145" s="685" t="e" cm="1">
        <f t="array" ref="N145">IF(C_PS2W2  S_Take_Off_B1,C_PS2W2  S_Take_Off_B1,"")</f>
        <v>#NAME?</v>
      </c>
      <c r="O145" s="686"/>
      <c r="P145" s="685" t="e" cm="1">
        <f t="array" ref="P145">IF('RATINGS QUESTION'!$K$5="YES","N/A", IF(C_PS2W2 S_MAX_CONT_B2,C_PS2W2 S_MAX_CONT_B2,""))</f>
        <v>#NAME?</v>
      </c>
      <c r="Q145" s="687"/>
      <c r="R145" s="686"/>
      <c r="S145" s="685" t="e" cm="1">
        <f t="array" ref="S145">IF('RATINGS QUESTION'!$K$5="YES","N/A", IF(C_PS2W2 S_Take_Off_B2,C_PS2W2 S_Take_Off_B2,""))</f>
        <v>#NAME?</v>
      </c>
      <c r="T145" s="687"/>
      <c r="U145" s="145"/>
    </row>
    <row r="146" spans="1:21" ht="12.75" customHeight="1" x14ac:dyDescent="0.2">
      <c r="A146" s="145"/>
      <c r="B146" s="145"/>
      <c r="C146" s="164" t="s">
        <v>53</v>
      </c>
      <c r="D146" s="164"/>
      <c r="E146" s="165" t="s">
        <v>380</v>
      </c>
      <c r="F146" s="165"/>
      <c r="G146" s="145"/>
      <c r="H146" s="685" t="e" cm="1">
        <f t="array" ref="H146">IF(C_PS2W3 S_Perf_GI,C_PS2W3 S_Perf_GI,"")</f>
        <v>#NAME?</v>
      </c>
      <c r="I146" s="686"/>
      <c r="J146" s="685" t="e" cm="1">
        <f t="array" ref="J146">IF(C_PS2W3 S_Perf_AI,C_PS2W3 S_Perf_AI,"")</f>
        <v>#NAME?</v>
      </c>
      <c r="K146" s="686"/>
      <c r="L146" s="685" t="e" cm="1">
        <f t="array" ref="L146">IF(C_PS2W3  S_MAX_CONT_B1,C_PS2W3  S_MAX_CONT_B1,"")</f>
        <v>#NAME?</v>
      </c>
      <c r="M146" s="686"/>
      <c r="N146" s="685" t="e" cm="1">
        <f t="array" ref="N146">IF(C_PS2W3  S_Take_Off_B1,C_PS2W3  S_Take_Off_B1,"")</f>
        <v>#NAME?</v>
      </c>
      <c r="O146" s="686"/>
      <c r="P146" s="685" t="e" cm="1">
        <f t="array" ref="P146">IF('RATINGS QUESTION'!$K$5="YES","N/A", IF(C_PS2W3 S_MAX_CONT_B2,C_PS2W3 S_MAX_CONT_B2,""))</f>
        <v>#NAME?</v>
      </c>
      <c r="Q146" s="687"/>
      <c r="R146" s="686"/>
      <c r="S146" s="685" t="e" cm="1">
        <f t="array" ref="S146">IF('RATINGS QUESTION'!$K$5="YES","N/A", IF(C_PS2W3 S_Take_Off_B2,C_PS2W3 S_Take_Off_B2,""))</f>
        <v>#NAME?</v>
      </c>
      <c r="T146" s="687"/>
      <c r="U146" s="145"/>
    </row>
    <row r="147" spans="1:21" ht="12.75" customHeight="1" x14ac:dyDescent="0.2">
      <c r="A147" s="145"/>
      <c r="B147" s="145"/>
      <c r="C147" s="164" t="s">
        <v>54</v>
      </c>
      <c r="D147" s="164"/>
      <c r="E147" s="165" t="s">
        <v>380</v>
      </c>
      <c r="F147" s="165"/>
      <c r="G147" s="145"/>
      <c r="H147" s="685" t="e" cm="1">
        <f t="array" ref="H147">IF(C_PS2W4 S_Perf_GI,C_PS2W4 S_Perf_GI,"")</f>
        <v>#NAME?</v>
      </c>
      <c r="I147" s="686"/>
      <c r="J147" s="685" t="e" cm="1">
        <f t="array" ref="J147">IF(C_PS2W4 S_Perf_AI,C_PS2W4 S_Perf_AI,"")</f>
        <v>#NAME?</v>
      </c>
      <c r="K147" s="686"/>
      <c r="L147" s="685" t="e" cm="1">
        <f t="array" ref="L147">IF(C_PS2W4  S_MAX_CONT_B1,C_PS2W4  S_MAX_CONT_B1,"")</f>
        <v>#NAME?</v>
      </c>
      <c r="M147" s="686"/>
      <c r="N147" s="685" t="e" cm="1">
        <f t="array" ref="N147">IF(C_PS2W4  S_Take_Off_B1,C_PS2W4  S_Take_Off_B1,"")</f>
        <v>#NAME?</v>
      </c>
      <c r="O147" s="686"/>
      <c r="P147" s="685" t="e" cm="1">
        <f t="array" ref="P147">IF('RATINGS QUESTION'!$K$5="YES","N/A", IF(C_PS2W4 S_MAX_CONT_B2,C_PS2W4 S_MAX_CONT_B2,""))</f>
        <v>#NAME?</v>
      </c>
      <c r="Q147" s="687"/>
      <c r="R147" s="686"/>
      <c r="S147" s="685" t="e" cm="1">
        <f t="array" ref="S147">IF('RATINGS QUESTION'!$K$5="YES","N/A", IF(C_PS2W4 S_Take_Off_B2,C_PS2W4 S_Take_Off_B2,""))</f>
        <v>#NAME?</v>
      </c>
      <c r="T147" s="687"/>
      <c r="U147" s="145"/>
    </row>
    <row r="148" spans="1:21" ht="12.75" customHeight="1" x14ac:dyDescent="0.2">
      <c r="A148" s="145"/>
      <c r="B148" s="145"/>
      <c r="C148" s="164" t="s">
        <v>48</v>
      </c>
      <c r="D148" s="164"/>
      <c r="E148" s="165" t="s">
        <v>380</v>
      </c>
      <c r="F148" s="165"/>
      <c r="G148" s="145"/>
      <c r="H148" s="725" t="e" cm="1">
        <f t="array" ref="H148">IF(C_PS13_ECU S_Perf_GI&gt;C_PS13 S_Perf_GI,"N/A",C_PS13 S_Perf_GI)</f>
        <v>#NAME?</v>
      </c>
      <c r="I148" s="727"/>
      <c r="J148" s="725" t="e" cm="1">
        <f t="array" ref="J148">IF(C_PS13_ECU S_Perf_AI&gt;C_PS13 S_Perf_AI,"N/A",C_PS13 S_Perf_AI)</f>
        <v>#NAME?</v>
      </c>
      <c r="K148" s="727"/>
      <c r="L148" s="725" t="e" cm="1">
        <f t="array" ref="L148">IF(C_PS13_ECU S_MAX_CONT_B1&gt;C_PS13 S_MAX_CONT_B1,"N/A",C_PS13 S_MAX_CONT_B1)</f>
        <v>#NAME?</v>
      </c>
      <c r="M148" s="727"/>
      <c r="N148" s="725" t="e" cm="1">
        <f t="array" ref="N148">IF(C_PS13_ECU S_Take_Off_B1&gt;C_PS13 S_Take_Off_B1,"N/A",C_PS13 S_Take_Off_B1)</f>
        <v>#NAME?</v>
      </c>
      <c r="O148" s="727"/>
      <c r="P148" s="725" t="e" cm="1">
        <f t="array" ref="P148">IF('RATINGS QUESTION'!$K$5="YES","N/A",IF(C_PS13_ECU S_MAX_CONT_B2&gt;C_PS13 S_MAX_CONT_B2,"N/A",C_PS13 S_MAX_CONT_B2))</f>
        <v>#NAME?</v>
      </c>
      <c r="Q148" s="726"/>
      <c r="R148" s="727"/>
      <c r="S148" s="725" t="e" cm="1">
        <f t="array" ref="S148">IF('RATINGS QUESTION'!$K$5="YES","N/A",IF(C_PS13_ECU S_Take_Off_B2&gt;C_PS13 S_Take_Off_B2,"N/A",C_PS13 S_Take_Off_B2))</f>
        <v>#NAME?</v>
      </c>
      <c r="T148" s="726"/>
      <c r="U148" s="151"/>
    </row>
    <row r="149" spans="1:21" ht="12.75" customHeight="1" x14ac:dyDescent="0.2">
      <c r="A149" s="145"/>
      <c r="B149" s="145"/>
      <c r="C149" s="164" t="s">
        <v>446</v>
      </c>
      <c r="D149" s="164"/>
      <c r="E149" s="165" t="s">
        <v>380</v>
      </c>
      <c r="F149" s="165"/>
      <c r="G149" s="145"/>
      <c r="H149" s="725" t="e" cm="1">
        <f t="array" ref="H149">IF(C_PS13_ECU S_Perf_GI&gt;C_PS13 S_Perf_GI,C_PS13_ECU S_Perf_GI,"N/A")</f>
        <v>#NAME?</v>
      </c>
      <c r="I149" s="727"/>
      <c r="J149" s="725" t="e" cm="1">
        <f t="array" ref="J149">IF(C_PS13_ECU S_Perf_AI&gt;C_PS13 S_Perf_AI,C_PS13_ECU S_Perf_AI,"N/A")</f>
        <v>#NAME?</v>
      </c>
      <c r="K149" s="727"/>
      <c r="L149" s="725" t="e" cm="1">
        <f t="array" ref="L149">IF(C_PS13_ECU S_MAX_CONT_B1&gt;C_PS13 S_MAX_CONT_B1,C_PS13_ECU S_MAX_CONT_B1,"N/A")</f>
        <v>#NAME?</v>
      </c>
      <c r="M149" s="727"/>
      <c r="N149" s="725" t="e" cm="1">
        <f t="array" ref="N149">IF(C_PS13_ECU S_Take_Off_B1&gt;C_PS13 S_Take_Off_B1,C_PS13_ECU S_Take_Off_B1,"N/A")</f>
        <v>#NAME?</v>
      </c>
      <c r="O149" s="727"/>
      <c r="P149" s="725" t="e" cm="1">
        <f t="array" ref="P149">IF('RATINGS QUESTION'!$K$5="YES","N/A",IF(C_PS13_ECU S_MAX_CONT_B2&gt;C_PS13 S_MAX_CONT_B2,C_PS13_ECU S_MAX_CONT_B2,"N/A"))</f>
        <v>#NAME?</v>
      </c>
      <c r="Q149" s="726"/>
      <c r="R149" s="727"/>
      <c r="S149" s="725" t="e" cm="1">
        <f t="array" ref="S149">IF('RATINGS QUESTION'!$K$5="YES","N/A",IF(C_PS13_ECU S_Take_Off_B2&gt;C_PS13 S_Take_Off_B2,C_PS13_ECU S_Take_Off_B2,"N/A"))</f>
        <v>#NAME?</v>
      </c>
      <c r="T149" s="726"/>
      <c r="U149" s="151"/>
    </row>
    <row r="150" spans="1:21" ht="12.75" customHeight="1" x14ac:dyDescent="0.2">
      <c r="A150" s="145"/>
      <c r="B150" s="145"/>
      <c r="C150" s="164" t="s">
        <v>56</v>
      </c>
      <c r="D150" s="164"/>
      <c r="E150" s="307" t="s">
        <v>380</v>
      </c>
      <c r="F150" s="307"/>
      <c r="G150" s="211"/>
      <c r="H150" s="685" t="e" cm="1">
        <f t="array" ref="H150">IF(C_PT17 S_Perf_GI,C_PT17 S_Perf_GI,"")</f>
        <v>#NAME?</v>
      </c>
      <c r="I150" s="686"/>
      <c r="J150" s="685" t="e" cm="1">
        <f t="array" ref="J150">IF(C_PT17 S_Perf_AI,C_PT17 S_Perf_AI,"")</f>
        <v>#NAME?</v>
      </c>
      <c r="K150" s="686"/>
      <c r="L150" s="685" t="e" cm="1">
        <f t="array" ref="L150">IF(C_PT17  S_MAX_CONT_B1,C_PT17  S_MAX_CONT_B1,"")</f>
        <v>#NAME?</v>
      </c>
      <c r="M150" s="686"/>
      <c r="N150" s="685" t="e" cm="1">
        <f t="array" ref="N150">IF(C_PT17  S_Take_Off_B1,C_PT17  S_Take_Off_B1,"")</f>
        <v>#NAME?</v>
      </c>
      <c r="O150" s="686"/>
      <c r="P150" s="685" t="e" cm="1">
        <f t="array" ref="P150">IF('RATINGS QUESTION'!$K$5="YES","N/A", IF(C_PT17 S_MAX_CONT_B2,C_PT17 S_MAX_CONT_B2,""))</f>
        <v>#NAME?</v>
      </c>
      <c r="Q150" s="687"/>
      <c r="R150" s="686"/>
      <c r="S150" s="685" t="e" cm="1">
        <f t="array" ref="S150">IF('RATINGS QUESTION'!$K$5="YES","N/A", IF(C_PT17 S_Take_Off_B2,C_PT17 S_Take_Off_B2,""))</f>
        <v>#NAME?</v>
      </c>
      <c r="T150" s="687"/>
      <c r="U150" s="151"/>
    </row>
    <row r="151" spans="1:21" ht="12.75" customHeight="1" x14ac:dyDescent="0.2">
      <c r="A151" s="145"/>
      <c r="B151" s="145"/>
      <c r="C151" s="164" t="s">
        <v>57</v>
      </c>
      <c r="D151" s="164"/>
      <c r="E151" s="315" t="s">
        <v>380</v>
      </c>
      <c r="F151" s="315"/>
      <c r="G151" s="211"/>
      <c r="H151" s="685" t="e" cm="1">
        <f t="array" ref="H151">IF(C_PT17_1 S_Perf_GI,C_PT17_1 S_Perf_GI,"")</f>
        <v>#NAME?</v>
      </c>
      <c r="I151" s="686"/>
      <c r="J151" s="685" t="e" cm="1">
        <f t="array" ref="J151">IF(C_PT17_1 S_Perf_AI,C_PT17_1 S_Perf_AI,"")</f>
        <v>#NAME?</v>
      </c>
      <c r="K151" s="686"/>
      <c r="L151" s="685" t="e" cm="1">
        <f t="array" ref="L151">IF(C_PT17_1  S_MAX_CONT_B1,C_PT17_1  S_MAX_CONT_B1,"")</f>
        <v>#NAME?</v>
      </c>
      <c r="M151" s="686"/>
      <c r="N151" s="685" t="e" cm="1">
        <f t="array" ref="N151">IF(C_PT17_1  S_Take_Off_B1,C_PT17_1  S_Take_Off_B1,"")</f>
        <v>#NAME?</v>
      </c>
      <c r="O151" s="686"/>
      <c r="P151" s="685" t="e" cm="1">
        <f t="array" ref="P151">IF('RATINGS QUESTION'!$K$5="YES","N/A", IF(C_PT17_1 S_MAX_CONT_B2,C_PT17_1 S_MAX_CONT_B2,""))</f>
        <v>#NAME?</v>
      </c>
      <c r="Q151" s="687"/>
      <c r="R151" s="686"/>
      <c r="S151" s="685" t="e" cm="1">
        <f t="array" ref="S151">IF('RATINGS QUESTION'!$K$5="YES","N/A", IF(C_PT17_1 S_Take_Off_B2,C_PT17_1 S_Take_Off_B2,""))</f>
        <v>#NAME?</v>
      </c>
      <c r="T151" s="687"/>
      <c r="U151" s="151"/>
    </row>
    <row r="152" spans="1:21" ht="12.75" customHeight="1" x14ac:dyDescent="0.2">
      <c r="A152" s="145"/>
      <c r="B152" s="145"/>
      <c r="C152" s="164" t="s">
        <v>58</v>
      </c>
      <c r="D152" s="164"/>
      <c r="E152" s="315" t="s">
        <v>380</v>
      </c>
      <c r="F152" s="315"/>
      <c r="G152" s="211"/>
      <c r="H152" s="685" t="e" cm="1">
        <f t="array" ref="H152">IF(C_PT17_2 S_Perf_GI,C_PT17_2 S_Perf_GI,"")</f>
        <v>#NAME?</v>
      </c>
      <c r="I152" s="686"/>
      <c r="J152" s="685" t="e" cm="1">
        <f t="array" ref="J152">IF(C_PT17_2 S_Perf_AI,C_PT17_2 S_Perf_AI,"")</f>
        <v>#NAME?</v>
      </c>
      <c r="K152" s="686"/>
      <c r="L152" s="685" t="e" cm="1">
        <f t="array" ref="L152">IF(C_PT17_2  S_MAX_CONT_B1,C_PT17_2  S_MAX_CONT_B1,"")</f>
        <v>#NAME?</v>
      </c>
      <c r="M152" s="686"/>
      <c r="N152" s="685" t="e" cm="1">
        <f t="array" ref="N152">IF(C_PT17_2  S_Take_Off_B1,C_PT17_2  S_Take_Off_B1,"")</f>
        <v>#NAME?</v>
      </c>
      <c r="O152" s="686"/>
      <c r="P152" s="685" t="e" cm="1">
        <f t="array" ref="P152">IF('RATINGS QUESTION'!$K$5="YES","N/A", IF(C_PT17_2 S_MAX_CONT_B2,C_PT17_2 S_MAX_CONT_B2,""))</f>
        <v>#NAME?</v>
      </c>
      <c r="Q152" s="687"/>
      <c r="R152" s="686"/>
      <c r="S152" s="685" t="e" cm="1">
        <f t="array" ref="S152">IF('RATINGS QUESTION'!$K$5="YES","N/A", IF(C_PT17_2 S_Take_Off_B2,C_PT17_2 S_Take_Off_B2,""))</f>
        <v>#NAME?</v>
      </c>
      <c r="T152" s="687"/>
      <c r="U152" s="151"/>
    </row>
    <row r="153" spans="1:21" ht="12.75" customHeight="1" x14ac:dyDescent="0.2">
      <c r="A153" s="145"/>
      <c r="B153" s="145"/>
      <c r="C153" s="164" t="s">
        <v>173</v>
      </c>
      <c r="D153" s="164"/>
      <c r="E153" s="165" t="s">
        <v>380</v>
      </c>
      <c r="F153" s="165"/>
      <c r="G153" s="211"/>
      <c r="H153" s="725" t="s">
        <v>1</v>
      </c>
      <c r="I153" s="727"/>
      <c r="J153" s="725" t="s">
        <v>1</v>
      </c>
      <c r="K153" s="727"/>
      <c r="L153" s="685" t="e" cm="1">
        <f t="array" ref="L153">IF(C_PT2_CAL  S_MAX_CONT_B1,C_PT2_CAL  S_MAX_CONT_B1,"")</f>
        <v>#NAME?</v>
      </c>
      <c r="M153" s="686"/>
      <c r="N153" s="685" t="e" cm="1">
        <f t="array" ref="N153">IF(C_PT2_CAL  S_Take_Off_B1,C_PT2_CAL  S_Take_Off_B1,"")</f>
        <v>#NAME?</v>
      </c>
      <c r="O153" s="686"/>
      <c r="P153" s="685" t="e" cm="1">
        <f t="array" ref="P153">IF('RATINGS QUESTION'!$K$5="YES","N/A", IF(C_PT2_CAL S_MAX_CONT_B2,C_PT2_CAL S_MAX_CONT_B2,""))</f>
        <v>#NAME?</v>
      </c>
      <c r="Q153" s="687"/>
      <c r="R153" s="686"/>
      <c r="S153" s="685" t="e" cm="1">
        <f t="array" ref="S153">IF('RATINGS QUESTION'!$K$5="YES","N/A", IF(C_PT2_CAL S_Take_Off_B2,C_PT2_CAL S_Take_Off_B2,""))</f>
        <v>#NAME?</v>
      </c>
      <c r="T153" s="687"/>
      <c r="U153" s="151"/>
    </row>
    <row r="154" spans="1:21" ht="12.75" customHeight="1" x14ac:dyDescent="0.2">
      <c r="A154" s="145"/>
      <c r="B154" s="145"/>
      <c r="C154" s="164" t="s">
        <v>447</v>
      </c>
      <c r="D154" s="164"/>
      <c r="E154" s="165" t="s">
        <v>380</v>
      </c>
      <c r="F154" s="165"/>
      <c r="G154" s="211"/>
      <c r="H154" s="725" t="e" cm="1">
        <f t="array" ref="H154">IF(C_P25_ECU S_Perf_GI&lt;15,"N/A",C_P25_ECU S_Perf_GI)</f>
        <v>#NAME?</v>
      </c>
      <c r="I154" s="727"/>
      <c r="J154" s="725" t="e" cm="1">
        <f t="array" ref="J154">IF(C_P25_ECU S_Perf_AI&lt;15,"N/A",C_P25_ECU S_Perf_AI)</f>
        <v>#NAME?</v>
      </c>
      <c r="K154" s="727"/>
      <c r="L154" s="725" t="e" cm="1">
        <f t="array" ref="L154">IF(C_P25_ECU S_MAX_CONT_B1&lt;15,"N/A",C_P25_ECU S_MAX_CONT_B1)</f>
        <v>#NAME?</v>
      </c>
      <c r="M154" s="727"/>
      <c r="N154" s="725" t="e" cm="1">
        <f t="array" ref="N154">IF(C_P25_ECU S_Take_Off_B1&lt;15,"N/A",C_P25_ECU S_Take_Off_B1)</f>
        <v>#NAME?</v>
      </c>
      <c r="O154" s="727"/>
      <c r="P154" s="725" t="e" cm="1">
        <f t="array" ref="P154">IF('RATINGS QUESTION'!$K$5="YES","N/A",IF(C_P25_ECU S_MAX_CONT_B2&lt;15,"N/A",C_P25_ECU S_MAX_CONT_B2))</f>
        <v>#NAME?</v>
      </c>
      <c r="Q154" s="726"/>
      <c r="R154" s="727"/>
      <c r="S154" s="725" t="e" cm="1">
        <f t="array" ref="S154">IF('RATINGS QUESTION'!$K$5="YES","N/A",IF(C_P25_ECU S_Take_Off_B2&lt;15,"N/A",C_P25_ECU S_Take_Off_B2))</f>
        <v>#NAME?</v>
      </c>
      <c r="T154" s="726"/>
      <c r="U154" s="151"/>
    </row>
    <row r="155" spans="1:21" ht="12.75" customHeight="1" x14ac:dyDescent="0.2">
      <c r="A155" s="145"/>
      <c r="B155" s="145"/>
      <c r="C155" s="164" t="s">
        <v>59</v>
      </c>
      <c r="D155" s="164"/>
      <c r="E155" s="225" t="s">
        <v>380</v>
      </c>
      <c r="F155" s="225"/>
      <c r="G155" s="211"/>
      <c r="H155" s="685" t="e" cm="1">
        <f t="array" ref="H155">IF(C_PT25 S_Perf_GI,C_PT25 S_Perf_GI,"")</f>
        <v>#NAME?</v>
      </c>
      <c r="I155" s="686"/>
      <c r="J155" s="685" t="e" cm="1">
        <f t="array" ref="J155">IF(C_PT25 S_Perf_AI,C_PT25 S_Perf_AI,"")</f>
        <v>#NAME?</v>
      </c>
      <c r="K155" s="686"/>
      <c r="L155" s="685" t="e" cm="1">
        <f t="array" ref="L155">IF(C_PT25  S_MAX_CONT_B1,C_PT25  S_MAX_CONT_B1,"")</f>
        <v>#NAME?</v>
      </c>
      <c r="M155" s="686"/>
      <c r="N155" s="685" t="e" cm="1">
        <f t="array" ref="N155">IF(C_PT25  S_Take_Off_B1,C_PT25  S_Take_Off_B1,"")</f>
        <v>#NAME?</v>
      </c>
      <c r="O155" s="686"/>
      <c r="P155" s="685" t="e" cm="1">
        <f t="array" ref="P155">IF('RATINGS QUESTION'!$K$5="YES","N/A", IF(C_PT25 S_MAX_CONT_B2,C_PT25 S_MAX_CONT_B2,""))</f>
        <v>#NAME?</v>
      </c>
      <c r="Q155" s="687"/>
      <c r="R155" s="686"/>
      <c r="S155" s="685" t="e" cm="1">
        <f t="array" ref="S155">IF('RATINGS QUESTION'!$K$5="YES","N/A", IF(C_PT25 S_Take_Off_B2,C_PT25 S_Take_Off_B2,""))</f>
        <v>#NAME?</v>
      </c>
      <c r="T155" s="687"/>
      <c r="U155" s="151"/>
    </row>
    <row r="156" spans="1:21" ht="12.75" customHeight="1" x14ac:dyDescent="0.2">
      <c r="A156" s="145"/>
      <c r="B156" s="145"/>
      <c r="C156" s="164" t="s">
        <v>60</v>
      </c>
      <c r="D156" s="164"/>
      <c r="E156" s="225" t="s">
        <v>380</v>
      </c>
      <c r="F156" s="225"/>
      <c r="G156" s="211"/>
      <c r="H156" s="685" t="e" cm="1">
        <f t="array" ref="H156">IF(C_PT495 S_Perf_GI,C_PT495 S_Perf_GI,"")</f>
        <v>#NAME?</v>
      </c>
      <c r="I156" s="686"/>
      <c r="J156" s="685" t="e" cm="1">
        <f t="array" ref="J156">IF(C_PT495 S_Perf_AI,C_PT495 S_Perf_AI,"")</f>
        <v>#NAME?</v>
      </c>
      <c r="K156" s="686"/>
      <c r="L156" s="685" t="e" cm="1">
        <f t="array" ref="L156">IF(C_PT495  S_MAX_CONT_B1,C_PT495  S_MAX_CONT_B1,"")</f>
        <v>#NAME?</v>
      </c>
      <c r="M156" s="686"/>
      <c r="N156" s="685" t="e" cm="1">
        <f t="array" ref="N156">IF(C_PT495  S_Take_Off_B1,C_PT495  S_Take_Off_B1,"")</f>
        <v>#NAME?</v>
      </c>
      <c r="O156" s="686"/>
      <c r="P156" s="685" t="e" cm="1">
        <f t="array" ref="P156">IF('RATINGS QUESTION'!$K$5="YES","N/A", IF(C_PT495 S_MAX_CONT_B2,C_PT495 S_MAX_CONT_B2,""))</f>
        <v>#NAME?</v>
      </c>
      <c r="Q156" s="687"/>
      <c r="R156" s="686"/>
      <c r="S156" s="685" t="e" cm="1">
        <f t="array" ref="S156">IF('RATINGS QUESTION'!$K$5="YES","N/A", IF(C_PT495 S_Take_Off_B2,C_PT495 S_Take_Off_B2,""))</f>
        <v>#NAME?</v>
      </c>
      <c r="T156" s="687"/>
      <c r="U156" s="151"/>
    </row>
    <row r="157" spans="1:21" ht="12.75" customHeight="1" x14ac:dyDescent="0.2">
      <c r="A157" s="145"/>
      <c r="B157" s="145"/>
      <c r="C157" s="164" t="s">
        <v>61</v>
      </c>
      <c r="D157" s="164"/>
      <c r="E157" s="225" t="s">
        <v>380</v>
      </c>
      <c r="F157" s="225"/>
      <c r="G157" s="211"/>
      <c r="H157" s="685" t="e" cm="1">
        <f t="array" ref="H157">IF(C_PT54 S_Perf_GI,C_PT54 S_Perf_GI,"")</f>
        <v>#NAME?</v>
      </c>
      <c r="I157" s="686"/>
      <c r="J157" s="685" t="e" cm="1">
        <f t="array" ref="J157">IF(C_PT54 S_Perf_AI,C_PT54 S_Perf_AI,"")</f>
        <v>#NAME?</v>
      </c>
      <c r="K157" s="686"/>
      <c r="L157" s="685" t="e" cm="1">
        <f t="array" ref="L157">IF(C_PT54  S_MAX_CONT_B1,C_PT54  S_MAX_CONT_B1,"")</f>
        <v>#NAME?</v>
      </c>
      <c r="M157" s="686"/>
      <c r="N157" s="685" t="e" cm="1">
        <f t="array" ref="N157">IF(C_PT54  S_Take_Off_B1,C_PT54  S_Take_Off_B1,"")</f>
        <v>#NAME?</v>
      </c>
      <c r="O157" s="686"/>
      <c r="P157" s="685" t="e" cm="1">
        <f t="array" ref="P157">IF('RATINGS QUESTION'!$K$5="YES","N/A", IF(C_PT54 S_MAX_CONT_B2,C_PT54 S_MAX_CONT_B2,""))</f>
        <v>#NAME?</v>
      </c>
      <c r="Q157" s="687"/>
      <c r="R157" s="686"/>
      <c r="S157" s="685" t="e" cm="1">
        <f t="array" ref="S157">IF('RATINGS QUESTION'!$K$5="YES","N/A", IF(C_PT54 S_Take_Off_B2,C_PT54 S_Take_Off_B2,""))</f>
        <v>#NAME?</v>
      </c>
      <c r="T157" s="687"/>
      <c r="U157" s="151"/>
    </row>
    <row r="158" spans="1:21" ht="12.75" customHeight="1" x14ac:dyDescent="0.2">
      <c r="A158" s="145"/>
      <c r="B158" s="145"/>
      <c r="C158" s="164" t="s">
        <v>382</v>
      </c>
      <c r="D158" s="164"/>
      <c r="E158" s="165" t="s">
        <v>364</v>
      </c>
      <c r="F158" s="165"/>
      <c r="G158" s="145"/>
      <c r="H158" s="685" t="e" cm="1">
        <f t="array" ref="H158">IF(C_P_Sump S_Perf_GI,C_P_Sump S_Perf_GI,"")</f>
        <v>#NAME?</v>
      </c>
      <c r="I158" s="686"/>
      <c r="J158" s="685" t="e" cm="1">
        <f t="array" ref="J158">IF(C_P_Sump S_Perf_AI,C_P_Sump S_Perf_AI,"")</f>
        <v>#NAME?</v>
      </c>
      <c r="K158" s="686"/>
      <c r="L158" s="685" t="e" cm="1">
        <f t="array" ref="L158">IF(C_P_Sump  S_MAX_CONT_B1,C_P_Sump  S_MAX_CONT_B1,"")</f>
        <v>#NAME?</v>
      </c>
      <c r="M158" s="686"/>
      <c r="N158" s="685" t="e" cm="1">
        <f t="array" ref="N158">IF(C_P_Sump  S_Take_Off_B1,C_P_Sump  S_Take_Off_B1,"")</f>
        <v>#NAME?</v>
      </c>
      <c r="O158" s="686"/>
      <c r="P158" s="685" t="e" cm="1">
        <f t="array" ref="P158">IF('RATINGS QUESTION'!$K$5="YES","N/A", IF(C_P_Sump S_MAX_CONT_B2,C_P_Sump S_MAX_CONT_B2,""))</f>
        <v>#NAME?</v>
      </c>
      <c r="Q158" s="687"/>
      <c r="R158" s="686"/>
      <c r="S158" s="685" t="e" cm="1">
        <f t="array" ref="S158">IF('RATINGS QUESTION'!$K$5="YES","N/A", IF(C_P_Sump S_Take_Off_B2,C_P_Sump S_Take_Off_B2,""))</f>
        <v>#NAME?</v>
      </c>
      <c r="T158" s="687"/>
      <c r="U158" s="151"/>
    </row>
    <row r="159" spans="1:21" x14ac:dyDescent="0.2">
      <c r="A159" s="145"/>
      <c r="B159" s="145"/>
      <c r="C159" s="164" t="s">
        <v>452</v>
      </c>
      <c r="D159" s="164"/>
      <c r="E159" s="225" t="s">
        <v>560</v>
      </c>
      <c r="F159" s="225"/>
      <c r="G159" s="145"/>
      <c r="H159" s="685" t="e" cm="1">
        <f t="array" ref="H159">IF(C_P_Sop_Diff S_Perf_GI,C_P_Sop_Diff S_Perf_GI,"")</f>
        <v>#NAME?</v>
      </c>
      <c r="I159" s="686"/>
      <c r="J159" s="685" t="e" cm="1">
        <f t="array" ref="J159">IF(C_P_Sop_Diff S_Perf_AI,C_P_Sop_Diff S_Perf_AI,"")</f>
        <v>#NAME?</v>
      </c>
      <c r="K159" s="686"/>
      <c r="L159" s="685" t="e" cm="1">
        <f t="array" ref="L159">IF(C_P_Sop_Diff  S_MAX_CONT_B1,C_P_Sop_Diff  S_MAX_CONT_B1,"")</f>
        <v>#NAME?</v>
      </c>
      <c r="M159" s="686"/>
      <c r="N159" s="685" t="e" cm="1">
        <f t="array" ref="N159">IF(C_P_Sop_Diff  S_Take_Off_B1,C_P_Sop_Diff  S_Take_Off_B1,"")</f>
        <v>#NAME?</v>
      </c>
      <c r="O159" s="686"/>
      <c r="P159" s="685" t="e" cm="1">
        <f t="array" ref="P159">IF('RATINGS QUESTION'!$K$5="YES","N/A", IF(C_P_Sop_Diff S_MAX_CONT_B2,C_P_Sop_Diff S_MAX_CONT_B2,""))</f>
        <v>#NAME?</v>
      </c>
      <c r="Q159" s="687"/>
      <c r="R159" s="686"/>
      <c r="S159" s="685" t="e" cm="1">
        <f t="array" ref="S159">IF('RATINGS QUESTION'!$K$5="YES","N/A", IF(C_P_Sop_Diff S_Take_Off_B2,C_P_Sop_Diff S_Take_Off_B2,""))</f>
        <v>#NAME?</v>
      </c>
      <c r="T159" s="687"/>
      <c r="U159" s="145"/>
    </row>
    <row r="160" spans="1:21" s="36" customFormat="1" ht="12.75" customHeight="1" x14ac:dyDescent="0.2">
      <c r="A160" s="35"/>
      <c r="B160" s="145"/>
      <c r="C160" s="223" t="s">
        <v>25</v>
      </c>
      <c r="D160" s="223"/>
      <c r="E160" s="165" t="s">
        <v>380</v>
      </c>
      <c r="F160" s="165"/>
      <c r="G160" s="35"/>
      <c r="H160" s="685" t="e" cm="1">
        <f t="array" ref="H160">IF(C_POil S_Perf_GI,C_POil S_Perf_GI,"")</f>
        <v>#NAME?</v>
      </c>
      <c r="I160" s="686"/>
      <c r="J160" s="685" t="e" cm="1">
        <f t="array" ref="J160">IF(C_POil S_Perf_AI,C_POil S_Perf_AI,"")</f>
        <v>#NAME?</v>
      </c>
      <c r="K160" s="686"/>
      <c r="L160" s="685" t="e" cm="1">
        <f t="array" ref="L160">IF(C_POil  S_MAX_CONT_B1,C_POil  S_MAX_CONT_B1,"")</f>
        <v>#NAME?</v>
      </c>
      <c r="M160" s="686"/>
      <c r="N160" s="685" t="e" cm="1">
        <f t="array" ref="N160">IF(C_POil  S_Take_Off_B1,C_POil  S_Take_Off_B1,"")</f>
        <v>#NAME?</v>
      </c>
      <c r="O160" s="686"/>
      <c r="P160" s="685" t="e" cm="1">
        <f t="array" ref="P160">IF('RATINGS QUESTION'!$K$5="YES","N/A", IF(C_POil S_MAX_CONT_B2,C_POil S_MAX_CONT_B2,""))</f>
        <v>#NAME?</v>
      </c>
      <c r="Q160" s="687"/>
      <c r="R160" s="686"/>
      <c r="S160" s="685" t="e" cm="1">
        <f t="array" ref="S160">IF('RATINGS QUESTION'!$K$5="YES","N/A", IF(C_POil S_Take_Off_B2,C_POil S_Take_Off_B2,""))</f>
        <v>#NAME?</v>
      </c>
      <c r="T160" s="687"/>
      <c r="U160" s="151"/>
    </row>
    <row r="161" spans="1:21" ht="12.75" customHeight="1" x14ac:dyDescent="0.2">
      <c r="A161" s="145"/>
      <c r="B161" s="145"/>
      <c r="C161" s="145"/>
      <c r="D161" s="145"/>
      <c r="E161" s="145"/>
      <c r="F161" s="145"/>
      <c r="G161" s="145"/>
      <c r="H161" s="287"/>
      <c r="I161" s="288"/>
      <c r="J161" s="287"/>
      <c r="K161" s="289"/>
      <c r="L161" s="290"/>
      <c r="M161" s="291"/>
      <c r="N161" s="290"/>
      <c r="O161" s="291"/>
      <c r="P161" s="290"/>
      <c r="Q161" s="151"/>
      <c r="R161" s="291"/>
      <c r="S161" s="290"/>
      <c r="T161" s="151"/>
      <c r="U161" s="151"/>
    </row>
    <row r="162" spans="1:21" ht="12.75" customHeight="1" thickBot="1" x14ac:dyDescent="0.25">
      <c r="A162" s="145"/>
      <c r="B162" s="145"/>
      <c r="C162" s="145"/>
      <c r="D162" s="145"/>
      <c r="E162" s="145"/>
      <c r="F162" s="145"/>
      <c r="G162" s="145"/>
      <c r="H162" s="287"/>
      <c r="I162" s="288"/>
      <c r="J162" s="287"/>
      <c r="K162" s="289"/>
      <c r="L162" s="290"/>
      <c r="M162" s="291"/>
      <c r="N162" s="290"/>
      <c r="O162" s="291"/>
      <c r="P162" s="290"/>
      <c r="Q162" s="151"/>
      <c r="R162" s="291"/>
      <c r="S162" s="290"/>
      <c r="T162" s="151"/>
      <c r="U162" s="151"/>
    </row>
    <row r="163" spans="1:21" ht="16.5" customHeight="1" thickBot="1" x14ac:dyDescent="0.25">
      <c r="A163" s="145"/>
      <c r="B163" s="691" t="s">
        <v>581</v>
      </c>
      <c r="C163" s="692"/>
      <c r="D163" s="692"/>
      <c r="E163" s="692"/>
      <c r="F163" s="692"/>
      <c r="G163" s="693"/>
      <c r="H163" s="288"/>
      <c r="I163" s="288"/>
      <c r="J163" s="287"/>
      <c r="K163" s="289"/>
      <c r="L163" s="290"/>
      <c r="M163" s="291"/>
      <c r="N163" s="290"/>
      <c r="O163" s="291"/>
      <c r="P163" s="290"/>
      <c r="Q163" s="151"/>
      <c r="R163" s="291"/>
      <c r="S163" s="290"/>
      <c r="T163" s="151"/>
      <c r="U163" s="151"/>
    </row>
    <row r="164" spans="1:21" ht="12.75" customHeight="1" x14ac:dyDescent="0.2">
      <c r="A164" s="145"/>
      <c r="B164" s="145"/>
      <c r="C164" s="145"/>
      <c r="D164" s="145"/>
      <c r="E164" s="145"/>
      <c r="F164" s="145"/>
      <c r="G164" s="145"/>
      <c r="H164" s="287"/>
      <c r="I164" s="288"/>
      <c r="J164" s="287"/>
      <c r="K164" s="289"/>
      <c r="L164" s="290"/>
      <c r="M164" s="291"/>
      <c r="N164" s="290"/>
      <c r="O164" s="291"/>
      <c r="P164" s="290"/>
      <c r="Q164" s="151"/>
      <c r="R164" s="291"/>
      <c r="S164" s="290"/>
      <c r="T164" s="151"/>
      <c r="U164" s="151"/>
    </row>
    <row r="165" spans="1:21" ht="12.75" customHeight="1" x14ac:dyDescent="0.2">
      <c r="A165" s="145"/>
      <c r="B165" s="145"/>
      <c r="C165" s="164" t="s">
        <v>432</v>
      </c>
      <c r="D165" s="164"/>
      <c r="E165" s="165" t="s">
        <v>383</v>
      </c>
      <c r="F165" s="165"/>
      <c r="G165" s="145"/>
      <c r="H165" s="685" t="e" cm="1">
        <f t="array" ref="H165">IF(C_FANBRGN1 S_Perf_GI,C_FANBRGN1 S_Perf_GI,"")</f>
        <v>#NAME?</v>
      </c>
      <c r="I165" s="686"/>
      <c r="J165" s="685" t="e" cm="1">
        <f t="array" ref="J165">IF(C_FANBRGN1 S_Perf_AI,C_FANBRGN1 S_Perf_AI,"")</f>
        <v>#NAME?</v>
      </c>
      <c r="K165" s="686"/>
      <c r="L165" s="685" t="e" cm="1">
        <f t="array" ref="L165">IF(C_FANBRGN1  S_MAX_CONT_B1,C_FANBRGN1  S_MAX_CONT_B1,"")</f>
        <v>#NAME?</v>
      </c>
      <c r="M165" s="686"/>
      <c r="N165" s="685" t="e" cm="1">
        <f t="array" ref="N165">IF(C_FANBRGN1  S_Take_Off_B1,C_FANBRGN1  S_Take_Off_B1,"")</f>
        <v>#NAME?</v>
      </c>
      <c r="O165" s="686"/>
      <c r="P165" s="685" t="e" cm="1">
        <f t="array" ref="P165">IF('RATINGS QUESTION'!$K$5="YES","N/A", IF(C_FANBRGN1 S_MAX_CONT_B2,C_FANBRGN1 S_MAX_CONT_B2,""))</f>
        <v>#NAME?</v>
      </c>
      <c r="Q165" s="687"/>
      <c r="R165" s="686"/>
      <c r="S165" s="685" t="e" cm="1">
        <f t="array" ref="S165">IF('RATINGS QUESTION'!$K$5="YES","N/A", IF(C_FANBRGN1 S_Take_Off_B2,C_FANBRGN1 S_Take_Off_B2,""))</f>
        <v>#NAME?</v>
      </c>
      <c r="T165" s="687"/>
      <c r="U165" s="151"/>
    </row>
    <row r="166" spans="1:21" ht="12.75" customHeight="1" x14ac:dyDescent="0.2">
      <c r="A166" s="145"/>
      <c r="B166" s="145"/>
      <c r="C166" s="164" t="s">
        <v>433</v>
      </c>
      <c r="D166" s="164"/>
      <c r="E166" s="165" t="s">
        <v>384</v>
      </c>
      <c r="F166" s="165"/>
      <c r="G166" s="145"/>
      <c r="H166" s="685" t="e" cm="1">
        <f t="array" ref="H166">IF(C_FANBRGN2 S_Perf_GI,C_FANBRGN2 S_Perf_GI,"")</f>
        <v>#NAME?</v>
      </c>
      <c r="I166" s="686"/>
      <c r="J166" s="685" t="e" cm="1">
        <f t="array" ref="J166">IF(C_FANBRGN2 S_Perf_AI,C_FANBRGN2 S_Perf_AI,"")</f>
        <v>#NAME?</v>
      </c>
      <c r="K166" s="686"/>
      <c r="L166" s="685" t="e" cm="1">
        <f t="array" ref="L166">IF(C_FANBRGN2  S_MAX_CONT_B1,C_FANBRGN2  S_MAX_CONT_B1,"")</f>
        <v>#NAME?</v>
      </c>
      <c r="M166" s="686"/>
      <c r="N166" s="685" t="e" cm="1">
        <f t="array" ref="N166">IF(C_FANBRGN2  S_Take_Off_B1,C_FANBRGN2  S_Take_Off_B1,"")</f>
        <v>#NAME?</v>
      </c>
      <c r="O166" s="686"/>
      <c r="P166" s="685" t="e" cm="1">
        <f t="array" ref="P166">IF('RATINGS QUESTION'!$K$5="YES","N/A", IF(C_FANBRGN2 S_MAX_CONT_B2,C_FANBRGN2 S_MAX_CONT_B2,""))</f>
        <v>#NAME?</v>
      </c>
      <c r="Q166" s="687"/>
      <c r="R166" s="686"/>
      <c r="S166" s="685" t="e" cm="1">
        <f t="array" ref="S166">IF('RATINGS QUESTION'!$K$5="YES","N/A", IF(C_FANBRGN2 S_Take_Off_B2,C_FANBRGN2 S_Take_Off_B2,""))</f>
        <v>#NAME?</v>
      </c>
      <c r="T166" s="687"/>
      <c r="U166" s="151"/>
    </row>
    <row r="167" spans="1:21" ht="12.75" customHeight="1" x14ac:dyDescent="0.2">
      <c r="A167" s="145"/>
      <c r="B167" s="145"/>
      <c r="C167" s="164" t="s">
        <v>434</v>
      </c>
      <c r="D167" s="164"/>
      <c r="E167" s="165" t="s">
        <v>383</v>
      </c>
      <c r="F167" s="165"/>
      <c r="G167" s="145"/>
      <c r="H167" s="685" t="e" cm="1">
        <f t="array" ref="H167">IF(C_VIBTRFN1 S_Perf_GI,C_VIBTRFN1 S_Perf_GI,"")</f>
        <v>#NAME?</v>
      </c>
      <c r="I167" s="686"/>
      <c r="J167" s="685" t="e" cm="1">
        <f t="array" ref="J167">IF(C_VIBTRFN1 S_Perf_AI,C_VIBTRFN1 S_Perf_AI,"")</f>
        <v>#NAME?</v>
      </c>
      <c r="K167" s="686"/>
      <c r="L167" s="685" t="e" cm="1">
        <f t="array" ref="L167">IF(C_VIBTRFN1  S_MAX_CONT_B1,C_VIBTRFN1  S_MAX_CONT_B1,"")</f>
        <v>#NAME?</v>
      </c>
      <c r="M167" s="686"/>
      <c r="N167" s="685" t="e" cm="1">
        <f t="array" ref="N167">IF(C_VIBTRFN1  S_Take_Off_B1,C_VIBTRFN1  S_Take_Off_B1,"")</f>
        <v>#NAME?</v>
      </c>
      <c r="O167" s="686"/>
      <c r="P167" s="685" t="e" cm="1">
        <f t="array" ref="P167">IF('RATINGS QUESTION'!$K$5="YES","N/A", IF(C_VIBTRFN1 S_MAX_CONT_B2,C_VIBTRFN1 S_MAX_CONT_B2,""))</f>
        <v>#NAME?</v>
      </c>
      <c r="Q167" s="687"/>
      <c r="R167" s="686"/>
      <c r="S167" s="685" t="e" cm="1">
        <f t="array" ref="S167">IF('RATINGS QUESTION'!$K$5="YES","N/A", IF(C_VIBTRFN1 S_Take_Off_B2,C_VIBTRFN1 S_Take_Off_B2,""))</f>
        <v>#NAME?</v>
      </c>
      <c r="T167" s="687"/>
      <c r="U167" s="151"/>
    </row>
    <row r="168" spans="1:21" ht="12.75" customHeight="1" x14ac:dyDescent="0.2">
      <c r="A168" s="145"/>
      <c r="B168" s="145"/>
      <c r="C168" s="164" t="s">
        <v>435</v>
      </c>
      <c r="D168" s="164"/>
      <c r="E168" s="165" t="s">
        <v>384</v>
      </c>
      <c r="F168" s="165"/>
      <c r="G168" s="145"/>
      <c r="H168" s="685" t="e" cm="1">
        <f t="array" ref="H168">IF(C_VIBTRFN2 S_Perf_GI,C_VIBTRFN2 S_Perf_GI,"")</f>
        <v>#NAME?</v>
      </c>
      <c r="I168" s="686"/>
      <c r="J168" s="685" t="e" cm="1">
        <f t="array" ref="J168">IF(C_VIBTRFN2 S_Perf_AI,C_VIBTRFN2 S_Perf_AI,"")</f>
        <v>#NAME?</v>
      </c>
      <c r="K168" s="686"/>
      <c r="L168" s="685" t="e" cm="1">
        <f t="array" ref="L168">IF(C_VIBTRFN2  S_MAX_CONT_B1,C_VIBTRFN2  S_MAX_CONT_B1,"")</f>
        <v>#NAME?</v>
      </c>
      <c r="M168" s="686"/>
      <c r="N168" s="685" t="e" cm="1">
        <f t="array" ref="N168">IF(C_VIBTRFN2  S_Take_Off_B1,C_VIBTRFN2  S_Take_Off_B1,"")</f>
        <v>#NAME?</v>
      </c>
      <c r="O168" s="686"/>
      <c r="P168" s="685" t="e" cm="1">
        <f t="array" ref="P168">IF('RATINGS QUESTION'!$K$5="YES","N/A", IF(C_VIBTRFN2 S_MAX_CONT_B2,C_VIBTRFN2 S_MAX_CONT_B2,""))</f>
        <v>#NAME?</v>
      </c>
      <c r="Q168" s="687"/>
      <c r="R168" s="686"/>
      <c r="S168" s="685" t="e" cm="1">
        <f t="array" ref="S168">IF('RATINGS QUESTION'!$K$5="YES","N/A", IF(C_VIBTRFN2 S_Take_Off_B2,C_VIBTRFN2 S_Take_Off_B2,""))</f>
        <v>#NAME?</v>
      </c>
      <c r="T168" s="687"/>
      <c r="U168" s="151"/>
    </row>
    <row r="169" spans="1:21" ht="12.75" customHeight="1" x14ac:dyDescent="0.25">
      <c r="A169" s="145"/>
      <c r="B169" s="145"/>
      <c r="C169" s="145"/>
      <c r="D169" s="145"/>
      <c r="E169" s="145"/>
      <c r="F169" s="145"/>
      <c r="G169" s="145"/>
      <c r="H169" s="212"/>
      <c r="I169" s="213"/>
      <c r="J169" s="212"/>
      <c r="K169" s="214"/>
      <c r="L169" s="215"/>
      <c r="M169" s="216"/>
      <c r="N169" s="215"/>
      <c r="O169" s="216"/>
      <c r="P169" s="215"/>
      <c r="Q169" s="157"/>
      <c r="R169" s="216"/>
      <c r="S169" s="215"/>
      <c r="T169" s="157"/>
      <c r="U169" s="151"/>
    </row>
    <row r="170" spans="1:21" ht="12.75" customHeight="1" x14ac:dyDescent="0.25">
      <c r="A170" s="145"/>
      <c r="B170" s="145"/>
      <c r="C170" s="145"/>
      <c r="D170" s="145"/>
      <c r="E170" s="145"/>
      <c r="F170" s="145"/>
      <c r="G170" s="145"/>
      <c r="H170" s="212"/>
      <c r="I170" s="213"/>
      <c r="J170" s="212"/>
      <c r="K170" s="214"/>
      <c r="L170" s="215"/>
      <c r="M170" s="216"/>
      <c r="N170" s="215"/>
      <c r="O170" s="216"/>
      <c r="P170" s="215"/>
      <c r="Q170" s="157"/>
      <c r="R170" s="216"/>
      <c r="S170" s="215"/>
      <c r="T170" s="157"/>
      <c r="U170" s="151"/>
    </row>
    <row r="171" spans="1:21" ht="12.75" customHeight="1" x14ac:dyDescent="0.25">
      <c r="A171" s="145"/>
      <c r="B171" s="145"/>
      <c r="C171" s="145"/>
      <c r="D171" s="145"/>
      <c r="E171" s="145"/>
      <c r="F171" s="145"/>
      <c r="G171" s="145"/>
      <c r="H171" s="212"/>
      <c r="I171" s="213"/>
      <c r="J171" s="212"/>
      <c r="K171" s="214"/>
      <c r="L171" s="215"/>
      <c r="M171" s="216"/>
      <c r="N171" s="215"/>
      <c r="O171" s="216"/>
      <c r="P171" s="215"/>
      <c r="Q171" s="157"/>
      <c r="R171" s="216"/>
      <c r="S171" s="215"/>
      <c r="T171" s="157"/>
      <c r="U171" s="151"/>
    </row>
    <row r="172" spans="1:21" ht="12.75" customHeight="1" x14ac:dyDescent="0.25">
      <c r="A172" s="145"/>
      <c r="B172" s="145"/>
      <c r="C172" s="145"/>
      <c r="D172" s="145"/>
      <c r="E172" s="145"/>
      <c r="F172" s="145"/>
      <c r="G172" s="145"/>
      <c r="H172" s="213"/>
      <c r="I172" s="213"/>
      <c r="J172" s="213"/>
      <c r="K172" s="213"/>
      <c r="L172" s="157"/>
      <c r="M172" s="157"/>
      <c r="N172" s="157"/>
      <c r="O172" s="157"/>
      <c r="P172" s="157"/>
      <c r="Q172" s="157"/>
      <c r="R172" s="157"/>
      <c r="S172" s="157"/>
      <c r="T172" s="157"/>
      <c r="U172" s="151"/>
    </row>
    <row r="173" spans="1:21" ht="12.75" customHeight="1" x14ac:dyDescent="0.2">
      <c r="A173" s="145"/>
      <c r="B173" s="145"/>
      <c r="C173" s="164"/>
      <c r="D173" s="164"/>
      <c r="E173" s="145"/>
      <c r="F173" s="145"/>
      <c r="G173" s="199"/>
      <c r="H173" s="199"/>
      <c r="I173" s="199"/>
      <c r="J173" s="200"/>
      <c r="K173" s="200"/>
      <c r="L173" s="199"/>
      <c r="M173" s="145"/>
      <c r="N173" s="164"/>
      <c r="O173" s="199"/>
      <c r="P173" s="145"/>
      <c r="Q173" s="145"/>
      <c r="R173" s="145"/>
      <c r="S173" s="145"/>
      <c r="T173" s="673" t="s">
        <v>457</v>
      </c>
      <c r="U173" s="673"/>
    </row>
    <row r="174" spans="1:21" x14ac:dyDescent="0.2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</row>
    <row r="175" spans="1:21" ht="16.5" customHeight="1" x14ac:dyDescent="0.25">
      <c r="A175" s="145"/>
      <c r="B175" s="145"/>
      <c r="C175" s="156"/>
      <c r="D175" s="156"/>
      <c r="E175" s="156"/>
      <c r="F175" s="156"/>
      <c r="G175" s="157"/>
      <c r="H175" s="698" t="s">
        <v>572</v>
      </c>
      <c r="I175" s="699"/>
      <c r="J175" s="700" t="s">
        <v>573</v>
      </c>
      <c r="K175" s="699"/>
      <c r="L175" s="700" t="s">
        <v>571</v>
      </c>
      <c r="M175" s="699"/>
      <c r="N175" s="700" t="s">
        <v>487</v>
      </c>
      <c r="O175" s="699"/>
      <c r="P175" s="700" t="s">
        <v>571</v>
      </c>
      <c r="Q175" s="698"/>
      <c r="R175" s="699"/>
      <c r="S175" s="700" t="s">
        <v>487</v>
      </c>
      <c r="T175" s="698"/>
      <c r="U175" s="158"/>
    </row>
    <row r="176" spans="1:21" s="42" customFormat="1" ht="12.75" customHeight="1" x14ac:dyDescent="0.25">
      <c r="A176" s="145"/>
      <c r="B176" s="300"/>
      <c r="C176" s="300"/>
      <c r="D176" s="300"/>
      <c r="E176" s="300"/>
      <c r="F176" s="300"/>
      <c r="G176" s="300"/>
      <c r="H176" s="674"/>
      <c r="I176" s="690"/>
      <c r="J176" s="689"/>
      <c r="K176" s="690"/>
      <c r="L176" s="689" t="e" cm="1">
        <f t="array" ref="L176" xml:space="preserve"> VLOOKUP(C_Engine_Rating S_MAX_CONT_B1, enum_list!$A$2:$F$102,3,1)</f>
        <v>#NAME?</v>
      </c>
      <c r="M176" s="690"/>
      <c r="N176" s="689" t="e" cm="1">
        <f t="array" ref="N176" xml:space="preserve"> VLOOKUP(C_Engine_Rating S_Take_Off_B1, enum_list!$A$2:$F$102,3,1)</f>
        <v>#NAME?</v>
      </c>
      <c r="O176" s="690"/>
      <c r="P176" s="701" t="e" cm="1">
        <f t="array" ref="P176">IF('RATINGS QUESTION'!$K$5="YES","N/A",VLOOKUP(C_Engine_Rating S_MAX_CONT_B2, enum_list!$A$2:$F$102,3,1))</f>
        <v>#NAME?</v>
      </c>
      <c r="Q176" s="702"/>
      <c r="R176" s="703"/>
      <c r="S176" s="689" t="e" cm="1">
        <f t="array" ref="S176">IF('RATINGS QUESTION'!$K$5="YES","N/A",VLOOKUP(C_Engine_Rating S_Take_Off_B2, enum_list!$A$2:$F$102,3,1))</f>
        <v>#NAME?</v>
      </c>
      <c r="T176" s="674"/>
      <c r="U176" s="294"/>
    </row>
    <row r="177" spans="1:21" s="42" customFormat="1" ht="12.75" customHeight="1" thickBot="1" x14ac:dyDescent="0.3">
      <c r="A177" s="145"/>
      <c r="B177" s="301"/>
      <c r="C177" s="301"/>
      <c r="D177" s="301"/>
      <c r="E177" s="301"/>
      <c r="F177" s="301"/>
      <c r="G177" s="301"/>
      <c r="H177" s="294"/>
      <c r="I177" s="296"/>
      <c r="J177" s="295"/>
      <c r="K177" s="296"/>
      <c r="L177" s="295"/>
      <c r="M177" s="296"/>
      <c r="N177" s="295"/>
      <c r="O177" s="296"/>
      <c r="P177" s="295"/>
      <c r="Q177" s="294"/>
      <c r="R177" s="296"/>
      <c r="S177" s="295"/>
      <c r="T177" s="294"/>
      <c r="U177" s="294"/>
    </row>
    <row r="178" spans="1:21" ht="16.5" customHeight="1" thickBot="1" x14ac:dyDescent="0.25">
      <c r="A178" s="145"/>
      <c r="B178" s="691" t="s">
        <v>385</v>
      </c>
      <c r="C178" s="692"/>
      <c r="D178" s="730" t="s">
        <v>386</v>
      </c>
      <c r="E178" s="730"/>
      <c r="F178" s="730"/>
      <c r="G178" s="731"/>
      <c r="H178" s="159"/>
      <c r="I178" s="161"/>
      <c r="J178" s="145"/>
      <c r="K178" s="161"/>
      <c r="L178" s="160"/>
      <c r="M178" s="161"/>
      <c r="N178" s="160"/>
      <c r="O178" s="161"/>
      <c r="P178" s="160"/>
      <c r="Q178" s="145"/>
      <c r="R178" s="161"/>
      <c r="S178" s="160"/>
      <c r="T178" s="145"/>
      <c r="U178" s="145"/>
    </row>
    <row r="179" spans="1:21" ht="12.75" customHeight="1" x14ac:dyDescent="0.2">
      <c r="A179" s="145"/>
      <c r="B179" s="145"/>
      <c r="C179" s="145"/>
      <c r="D179" s="145"/>
      <c r="E179" s="145"/>
      <c r="F179" s="145"/>
      <c r="G179" s="145"/>
      <c r="H179" s="224"/>
      <c r="I179" s="219"/>
      <c r="J179" s="218"/>
      <c r="K179" s="219"/>
      <c r="L179" s="217"/>
      <c r="M179" s="219"/>
      <c r="N179" s="217"/>
      <c r="O179" s="219"/>
      <c r="P179" s="217"/>
      <c r="Q179" s="218"/>
      <c r="R179" s="219"/>
      <c r="S179" s="217"/>
      <c r="T179" s="218"/>
      <c r="U179" s="145"/>
    </row>
    <row r="180" spans="1:21" ht="12.75" customHeight="1" x14ac:dyDescent="0.2">
      <c r="A180" s="145"/>
      <c r="B180" s="164" t="s">
        <v>387</v>
      </c>
      <c r="C180" s="164" t="s">
        <v>443</v>
      </c>
      <c r="D180" s="164" t="s">
        <v>466</v>
      </c>
      <c r="E180" s="165" t="s">
        <v>3</v>
      </c>
      <c r="F180" s="145"/>
      <c r="G180" s="145"/>
      <c r="H180" s="685" t="e" cm="1">
        <f t="array" ref="H180">IF(C_D346A S_Perf_GI,C_D346A S_Perf_GI,"")</f>
        <v>#NAME?</v>
      </c>
      <c r="I180" s="686"/>
      <c r="J180" s="685" t="e" cm="1">
        <f t="array" ref="J180">IF(C_D346A S_Perf_AI,C_D346A S_Perf_AI,"")</f>
        <v>#NAME?</v>
      </c>
      <c r="K180" s="686"/>
      <c r="L180" s="685" t="e" cm="1">
        <f t="array" ref="L180">IF(C_D346A  S_MAX_CONT_B1,C_D346A  S_MAX_CONT_B1,"")</f>
        <v>#NAME?</v>
      </c>
      <c r="M180" s="686"/>
      <c r="N180" s="685" t="e" cm="1">
        <f t="array" ref="N180">IF(C_D346A  S_Take_Off_B1,C_D346A  S_Take_Off_B1,"")</f>
        <v>#NAME?</v>
      </c>
      <c r="O180" s="686"/>
      <c r="P180" s="685" t="e" cm="1">
        <f t="array" ref="P180">IF('RATINGS QUESTION'!$K$5="YES","N/A", IF(C_D346A S_MAX_CONT_B2,C_D346A S_MAX_CONT_B2,""))</f>
        <v>#NAME?</v>
      </c>
      <c r="Q180" s="687"/>
      <c r="R180" s="686"/>
      <c r="S180" s="685" t="e" cm="1">
        <f t="array" ref="S180">IF('RATINGS QUESTION'!$K$5="YES","N/A", IF(C_D346A S_Take_Off_B2,C_D346A S_Take_Off_B2,""))</f>
        <v>#NAME?</v>
      </c>
      <c r="T180" s="687"/>
      <c r="U180" s="145"/>
    </row>
    <row r="181" spans="1:21" ht="12.75" customHeight="1" x14ac:dyDescent="0.2">
      <c r="A181" s="145"/>
      <c r="B181" s="164" t="s">
        <v>388</v>
      </c>
      <c r="C181" s="164" t="s">
        <v>443</v>
      </c>
      <c r="D181" s="164" t="s">
        <v>466</v>
      </c>
      <c r="E181" s="165" t="s">
        <v>3</v>
      </c>
      <c r="F181" s="145"/>
      <c r="G181" s="145"/>
      <c r="H181" s="685" t="e" cm="1">
        <f t="array" ref="H181">IF(C_D346B S_Perf_GI,C_D346B S_Perf_GI,"")</f>
        <v>#NAME?</v>
      </c>
      <c r="I181" s="686"/>
      <c r="J181" s="685" t="e" cm="1">
        <f t="array" ref="J181">IF(C_D346B S_Perf_AI,C_D346B S_Perf_AI,"")</f>
        <v>#NAME?</v>
      </c>
      <c r="K181" s="686"/>
      <c r="L181" s="685" t="e" cm="1">
        <f t="array" ref="L181">IF(C_D346B  S_MAX_CONT_B1,C_D346B  S_MAX_CONT_B1,"")</f>
        <v>#NAME?</v>
      </c>
      <c r="M181" s="686"/>
      <c r="N181" s="685" t="e" cm="1">
        <f t="array" ref="N181">IF(C_D346B  S_Take_Off_B1,C_D346B  S_Take_Off_B1,"")</f>
        <v>#NAME?</v>
      </c>
      <c r="O181" s="686"/>
      <c r="P181" s="685" t="e" cm="1">
        <f t="array" ref="P181">IF('RATINGS QUESTION'!$K$5="YES","N/A", IF(C_D346B S_MAX_CONT_B2,C_D346B S_MAX_CONT_B2,""))</f>
        <v>#NAME?</v>
      </c>
      <c r="Q181" s="687"/>
      <c r="R181" s="686"/>
      <c r="S181" s="685" t="e" cm="1">
        <f t="array" ref="S181">IF('RATINGS QUESTION'!$K$5="YES","N/A", IF(C_D346B S_Take_Off_B2,C_D346B S_Take_Off_B2,""))</f>
        <v>#NAME?</v>
      </c>
      <c r="T181" s="687"/>
      <c r="U181" s="145"/>
    </row>
    <row r="182" spans="1:21" ht="12.75" customHeight="1" x14ac:dyDescent="0.2">
      <c r="A182" s="145"/>
      <c r="B182" s="164" t="s">
        <v>387</v>
      </c>
      <c r="C182" s="164" t="s">
        <v>389</v>
      </c>
      <c r="D182" s="164" t="s">
        <v>467</v>
      </c>
      <c r="E182" s="165" t="s">
        <v>3</v>
      </c>
      <c r="F182" s="165"/>
      <c r="G182" s="145"/>
      <c r="H182" s="685" t="e" cm="1">
        <f t="array" ref="H182">IF(C_D341A S_Perf_GI,C_D341A S_Perf_GI,"")</f>
        <v>#NAME?</v>
      </c>
      <c r="I182" s="686"/>
      <c r="J182" s="685" t="e" cm="1">
        <f t="array" ref="J182">IF(C_D341A S_Perf_AI,C_D341A S_Perf_AI,"")</f>
        <v>#NAME?</v>
      </c>
      <c r="K182" s="686"/>
      <c r="L182" s="685" t="e" cm="1">
        <f t="array" ref="L182">IF(C_D341A  S_MAX_CONT_B1,C_D341A  S_MAX_CONT_B1,"")</f>
        <v>#NAME?</v>
      </c>
      <c r="M182" s="686"/>
      <c r="N182" s="685" t="e" cm="1">
        <f t="array" ref="N182">IF(C_D341A  S_Take_Off_B1,C_D341A  S_Take_Off_B1,"")</f>
        <v>#NAME?</v>
      </c>
      <c r="O182" s="686"/>
      <c r="P182" s="685" t="e" cm="1">
        <f t="array" ref="P182">IF('RATINGS QUESTION'!$K$5="YES","N/A", IF(C_D341A S_MAX_CONT_B2,C_D341A S_MAX_CONT_B2,""))</f>
        <v>#NAME?</v>
      </c>
      <c r="Q182" s="687"/>
      <c r="R182" s="686"/>
      <c r="S182" s="685" t="e" cm="1">
        <f t="array" ref="S182">IF('RATINGS QUESTION'!$K$5="YES","N/A", IF(C_D341A S_Take_Off_B2,C_D341A S_Take_Off_B2,""))</f>
        <v>#NAME?</v>
      </c>
      <c r="T182" s="687"/>
      <c r="U182" s="145"/>
    </row>
    <row r="183" spans="1:21" x14ac:dyDescent="0.2">
      <c r="A183" s="145"/>
      <c r="B183" s="164" t="s">
        <v>388</v>
      </c>
      <c r="C183" s="164" t="s">
        <v>389</v>
      </c>
      <c r="D183" s="164" t="s">
        <v>467</v>
      </c>
      <c r="E183" s="165" t="s">
        <v>3</v>
      </c>
      <c r="F183" s="165"/>
      <c r="G183" s="145"/>
      <c r="H183" s="685" t="e" cm="1">
        <f t="array" ref="H183">IF(C_D341B S_Perf_GI,C_D341B S_Perf_GI,"")</f>
        <v>#NAME?</v>
      </c>
      <c r="I183" s="686"/>
      <c r="J183" s="685" t="e" cm="1">
        <f t="array" ref="J183">IF(C_D341B S_Perf_AI,C_D341B S_Perf_AI,"")</f>
        <v>#NAME?</v>
      </c>
      <c r="K183" s="686"/>
      <c r="L183" s="685" t="e" cm="1">
        <f t="array" ref="L183">IF(C_D341B  S_MAX_CONT_B1,C_D341B  S_MAX_CONT_B1,"")</f>
        <v>#NAME?</v>
      </c>
      <c r="M183" s="686"/>
      <c r="N183" s="685" t="e" cm="1">
        <f t="array" ref="N183">IF(C_D341B  S_Take_Off_B1,C_D341B  S_Take_Off_B1,"")</f>
        <v>#NAME?</v>
      </c>
      <c r="O183" s="686"/>
      <c r="P183" s="685" t="e" cm="1">
        <f t="array" ref="P183">IF('RATINGS QUESTION'!$K$5="YES","N/A", IF(C_D341B S_MAX_CONT_B2,C_D341B S_MAX_CONT_B2,""))</f>
        <v>#NAME?</v>
      </c>
      <c r="Q183" s="687"/>
      <c r="R183" s="686"/>
      <c r="S183" s="685" t="e" cm="1">
        <f t="array" ref="S183">IF('RATINGS QUESTION'!$K$5="YES","N/A", IF(C_D341B S_Take_Off_B2,C_D341B S_Take_Off_B2,""))</f>
        <v>#NAME?</v>
      </c>
      <c r="T183" s="687"/>
      <c r="U183" s="145"/>
    </row>
    <row r="184" spans="1:21" x14ac:dyDescent="0.2">
      <c r="A184" s="145"/>
      <c r="B184" s="164" t="s">
        <v>387</v>
      </c>
      <c r="C184" s="164" t="s">
        <v>445</v>
      </c>
      <c r="D184" s="164" t="s">
        <v>444</v>
      </c>
      <c r="E184" s="165" t="s">
        <v>3</v>
      </c>
      <c r="F184" s="165"/>
      <c r="G184" s="145"/>
      <c r="H184" s="685" t="e" cm="1">
        <f t="array" ref="H184">IF(C_D054A S_Perf_GI,C_D054A S_Perf_GI,"")</f>
        <v>#NAME?</v>
      </c>
      <c r="I184" s="686"/>
      <c r="J184" s="685" t="e" cm="1">
        <f t="array" ref="J184">IF(C_D054A S_Perf_AI,C_D054A S_Perf_AI,"")</f>
        <v>#NAME?</v>
      </c>
      <c r="K184" s="686"/>
      <c r="L184" s="685" t="e" cm="1">
        <f t="array" ref="L184">IF(C_D054A  S_MAX_CONT_B1,C_D054A  S_MAX_CONT_B1,"")</f>
        <v>#NAME?</v>
      </c>
      <c r="M184" s="686"/>
      <c r="N184" s="685" t="e" cm="1">
        <f t="array" ref="N184">IF(C_D054A  S_Take_Off_B1,C_D054A  S_Take_Off_B1,"")</f>
        <v>#NAME?</v>
      </c>
      <c r="O184" s="686"/>
      <c r="P184" s="685" t="e" cm="1">
        <f t="array" ref="P184">IF('RATINGS QUESTION'!$K$5="YES","N/A", IF(C_D054A S_MAX_CONT_B2,C_D054A S_MAX_CONT_B2,""))</f>
        <v>#NAME?</v>
      </c>
      <c r="Q184" s="687"/>
      <c r="R184" s="686"/>
      <c r="S184" s="685" t="e" cm="1">
        <f t="array" ref="S184">IF('RATINGS QUESTION'!$K$5="YES","N/A", IF(C_D054A S_Take_Off_B2,C_D054A S_Take_Off_B2,""))</f>
        <v>#NAME?</v>
      </c>
      <c r="T184" s="687"/>
      <c r="U184" s="145"/>
    </row>
    <row r="185" spans="1:21" x14ac:dyDescent="0.2">
      <c r="A185" s="145"/>
      <c r="B185" s="164" t="s">
        <v>388</v>
      </c>
      <c r="C185" s="164" t="s">
        <v>445</v>
      </c>
      <c r="D185" s="164" t="s">
        <v>444</v>
      </c>
      <c r="E185" s="165" t="s">
        <v>3</v>
      </c>
      <c r="F185" s="165"/>
      <c r="G185" s="145"/>
      <c r="H185" s="685" t="e" cm="1">
        <f t="array" ref="H185">IF(C_D054B S_Perf_GI,C_D054B S_Perf_GI,"")</f>
        <v>#NAME?</v>
      </c>
      <c r="I185" s="686"/>
      <c r="J185" s="685" t="e" cm="1">
        <f t="array" ref="J185">IF(C_D054B S_Perf_AI,C_D054B S_Perf_AI,"")</f>
        <v>#NAME?</v>
      </c>
      <c r="K185" s="686"/>
      <c r="L185" s="685" t="e" cm="1">
        <f t="array" ref="L185">IF(C_D054B  S_MAX_CONT_B1,C_D054B  S_MAX_CONT_B1,"")</f>
        <v>#NAME?</v>
      </c>
      <c r="M185" s="686"/>
      <c r="N185" s="685" t="e" cm="1">
        <f t="array" ref="N185">IF(C_D054B  S_Take_Off_B1,C_D054B  S_Take_Off_B1,"")</f>
        <v>#NAME?</v>
      </c>
      <c r="O185" s="686"/>
      <c r="P185" s="685" t="e" cm="1">
        <f t="array" ref="P185">IF('RATINGS QUESTION'!$K$5="YES","N/A", IF(C_D054B S_MAX_CONT_B2,C_D054B S_MAX_CONT_B2,""))</f>
        <v>#NAME?</v>
      </c>
      <c r="Q185" s="687"/>
      <c r="R185" s="686"/>
      <c r="S185" s="685" t="e" cm="1">
        <f t="array" ref="S185">IF('RATINGS QUESTION'!$K$5="YES","N/A", IF(C_D054B S_Take_Off_B2,C_D054B S_Take_Off_B2,""))</f>
        <v>#NAME?</v>
      </c>
      <c r="T185" s="687"/>
      <c r="U185" s="145"/>
    </row>
    <row r="186" spans="1:21" x14ac:dyDescent="0.2">
      <c r="A186" s="145"/>
      <c r="B186" s="164" t="s">
        <v>387</v>
      </c>
      <c r="C186" s="164" t="s">
        <v>390</v>
      </c>
      <c r="D186" s="164" t="s">
        <v>391</v>
      </c>
      <c r="E186" s="165" t="s">
        <v>3</v>
      </c>
      <c r="F186" s="165"/>
      <c r="G186" s="145"/>
      <c r="H186" s="685" t="e" cm="1">
        <f t="array" ref="H186">IF(C_D344A S_Perf_GI,C_D344A S_Perf_GI,"")</f>
        <v>#NAME?</v>
      </c>
      <c r="I186" s="686"/>
      <c r="J186" s="685" t="e" cm="1">
        <f t="array" ref="J186">IF(C_D344A S_Perf_AI,C_D344A S_Perf_AI,"")</f>
        <v>#NAME?</v>
      </c>
      <c r="K186" s="686"/>
      <c r="L186" s="685" t="e" cm="1">
        <f t="array" ref="L186">IF(C_D344A  S_MAX_CONT_B1,C_D344A  S_MAX_CONT_B1,"")</f>
        <v>#NAME?</v>
      </c>
      <c r="M186" s="686"/>
      <c r="N186" s="685" t="e" cm="1">
        <f t="array" ref="N186">IF(C_D344A  S_Take_Off_B1,C_D344A  S_Take_Off_B1,"")</f>
        <v>#NAME?</v>
      </c>
      <c r="O186" s="686"/>
      <c r="P186" s="685" t="e" cm="1">
        <f t="array" ref="P186">IF('RATINGS QUESTION'!$K$5="YES","N/A", IF(C_D344A S_MAX_CONT_B2,C_D344A S_MAX_CONT_B2,""))</f>
        <v>#NAME?</v>
      </c>
      <c r="Q186" s="687"/>
      <c r="R186" s="686"/>
      <c r="S186" s="685" t="e" cm="1">
        <f t="array" ref="S186">IF('RATINGS QUESTION'!$K$5="YES","N/A", IF(C_D344A S_Take_Off_B2,C_D344A S_Take_Off_B2,""))</f>
        <v>#NAME?</v>
      </c>
      <c r="T186" s="687"/>
      <c r="U186" s="145"/>
    </row>
    <row r="187" spans="1:21" x14ac:dyDescent="0.2">
      <c r="A187" s="145"/>
      <c r="B187" s="164" t="s">
        <v>388</v>
      </c>
      <c r="C187" s="164" t="s">
        <v>390</v>
      </c>
      <c r="D187" s="164" t="s">
        <v>391</v>
      </c>
      <c r="E187" s="165" t="s">
        <v>3</v>
      </c>
      <c r="F187" s="165"/>
      <c r="G187" s="145"/>
      <c r="H187" s="685" t="e" cm="1">
        <f t="array" ref="H187">IF(C_D344B S_Perf_GI,C_D344B S_Perf_GI,"")</f>
        <v>#NAME?</v>
      </c>
      <c r="I187" s="686"/>
      <c r="J187" s="685" t="e" cm="1">
        <f t="array" ref="J187">IF(C_D344B S_Perf_AI,C_D344B S_Perf_AI,"")</f>
        <v>#NAME?</v>
      </c>
      <c r="K187" s="686"/>
      <c r="L187" s="685" t="e" cm="1">
        <f t="array" ref="L187">IF(C_D344B  S_MAX_CONT_B1,C_D344B  S_MAX_CONT_B1,"")</f>
        <v>#NAME?</v>
      </c>
      <c r="M187" s="686"/>
      <c r="N187" s="685" t="e" cm="1">
        <f t="array" ref="N187">IF(C_D344B  S_Take_Off_B1,C_D344B  S_Take_Off_B1,"")</f>
        <v>#NAME?</v>
      </c>
      <c r="O187" s="686"/>
      <c r="P187" s="685" t="e" cm="1">
        <f t="array" ref="P187">IF('RATINGS QUESTION'!$K$5="YES","N/A", IF(C_D344B S_MAX_CONT_B2,C_D344B S_MAX_CONT_B2,""))</f>
        <v>#NAME?</v>
      </c>
      <c r="Q187" s="687"/>
      <c r="R187" s="686"/>
      <c r="S187" s="685" t="e" cm="1">
        <f t="array" ref="S187">IF('RATINGS QUESTION'!$K$5="YES","N/A", IF(C_D344B S_Take_Off_B2,C_D344B S_Take_Off_B2,""))</f>
        <v>#NAME?</v>
      </c>
      <c r="T187" s="687"/>
      <c r="U187" s="145"/>
    </row>
    <row r="188" spans="1:21" x14ac:dyDescent="0.2">
      <c r="A188" s="145"/>
      <c r="B188" s="164" t="s">
        <v>387</v>
      </c>
      <c r="C188" s="164" t="s">
        <v>468</v>
      </c>
      <c r="D188" s="164" t="s">
        <v>469</v>
      </c>
      <c r="E188" s="165" t="s">
        <v>479</v>
      </c>
      <c r="F188" s="165"/>
      <c r="G188" s="145"/>
      <c r="H188" s="685" t="e" cm="1">
        <f t="array" ref="H188">IF(C_D133A S_Perf_GI,C_D133A S_Perf_GI,"")</f>
        <v>#NAME?</v>
      </c>
      <c r="I188" s="686"/>
      <c r="J188" s="685" t="e" cm="1">
        <f t="array" ref="J188">IF(C_D133A S_Perf_AI,C_D133A S_Perf_AI,"")</f>
        <v>#NAME?</v>
      </c>
      <c r="K188" s="686"/>
      <c r="L188" s="685" t="e" cm="1">
        <f t="array" ref="L188">IF(C_D133A  S_MAX_CONT_B1,C_D133A  S_MAX_CONT_B1,"")</f>
        <v>#NAME?</v>
      </c>
      <c r="M188" s="686"/>
      <c r="N188" s="685" t="e" cm="1">
        <f t="array" ref="N188">IF(C_D133A  S_Take_Off_B1,C_D133A  S_Take_Off_B1,"")</f>
        <v>#NAME?</v>
      </c>
      <c r="O188" s="686"/>
      <c r="P188" s="685" t="e" cm="1">
        <f t="array" ref="P188">IF('RATINGS QUESTION'!$K$5="YES","N/A", IF(C_D133A S_MAX_CONT_B2,C_D133A S_MAX_CONT_B2,""))</f>
        <v>#NAME?</v>
      </c>
      <c r="Q188" s="687"/>
      <c r="R188" s="686"/>
      <c r="S188" s="685" t="e" cm="1">
        <f t="array" ref="S188">IF('RATINGS QUESTION'!$K$5="YES","N/A", IF(C_D133A S_Take_Off_B2,C_D133A S_Take_Off_B2,""))</f>
        <v>#NAME?</v>
      </c>
      <c r="T188" s="687"/>
      <c r="U188" s="145"/>
    </row>
    <row r="189" spans="1:21" ht="12.75" customHeight="1" x14ac:dyDescent="0.2">
      <c r="A189" s="145"/>
      <c r="B189" s="164" t="s">
        <v>388</v>
      </c>
      <c r="C189" s="164" t="s">
        <v>468</v>
      </c>
      <c r="D189" s="164" t="s">
        <v>469</v>
      </c>
      <c r="E189" s="165" t="s">
        <v>479</v>
      </c>
      <c r="F189" s="165"/>
      <c r="G189" s="145"/>
      <c r="H189" s="685" t="e" cm="1">
        <f t="array" ref="H189">IF(C_D133B S_Perf_GI,C_D133B S_Perf_GI,"")</f>
        <v>#NAME?</v>
      </c>
      <c r="I189" s="686"/>
      <c r="J189" s="685" t="e" cm="1">
        <f t="array" ref="J189">IF(C_D133B S_Perf_AI,C_D133B S_Perf_AI,"")</f>
        <v>#NAME?</v>
      </c>
      <c r="K189" s="686"/>
      <c r="L189" s="685" t="e" cm="1">
        <f t="array" ref="L189">IF(C_D133B  S_MAX_CONT_B1,C_D133B  S_MAX_CONT_B1,"")</f>
        <v>#NAME?</v>
      </c>
      <c r="M189" s="686"/>
      <c r="N189" s="685" t="e" cm="1">
        <f t="array" ref="N189">IF(C_D133B  S_Take_Off_B1,C_D133B  S_Take_Off_B1,"")</f>
        <v>#NAME?</v>
      </c>
      <c r="O189" s="686"/>
      <c r="P189" s="685" t="e" cm="1">
        <f t="array" ref="P189">IF('RATINGS QUESTION'!$K$5="YES","N/A", IF(C_D133B S_MAX_CONT_B2,C_D133B S_MAX_CONT_B2,""))</f>
        <v>#NAME?</v>
      </c>
      <c r="Q189" s="687"/>
      <c r="R189" s="686"/>
      <c r="S189" s="685" t="e" cm="1">
        <f t="array" ref="S189">IF('RATINGS QUESTION'!$K$5="YES","N/A", IF(C_D133B S_Take_Off_B2,C_D133B S_Take_Off_B2,""))</f>
        <v>#NAME?</v>
      </c>
      <c r="T189" s="687"/>
      <c r="U189" s="145"/>
    </row>
    <row r="190" spans="1:21" ht="12.75" customHeight="1" x14ac:dyDescent="0.2">
      <c r="A190" s="145"/>
      <c r="B190" s="164" t="s">
        <v>387</v>
      </c>
      <c r="C190" s="164" t="s">
        <v>392</v>
      </c>
      <c r="D190" s="164" t="s">
        <v>470</v>
      </c>
      <c r="E190" s="165" t="s">
        <v>333</v>
      </c>
      <c r="F190" s="165"/>
      <c r="G190" s="145"/>
      <c r="H190" s="685" t="e" cm="1">
        <f t="array" ref="H190">IF(C_D130A S_Perf_GI,C_D130A S_Perf_GI,"")</f>
        <v>#NAME?</v>
      </c>
      <c r="I190" s="686"/>
      <c r="J190" s="685" t="e" cm="1">
        <f t="array" ref="J190">IF(C_D130A S_Perf_AI,C_D130A S_Perf_AI,"")</f>
        <v>#NAME?</v>
      </c>
      <c r="K190" s="686"/>
      <c r="L190" s="685" t="e" cm="1">
        <f t="array" ref="L190">IF(C_D130A  S_MAX_CONT_B1,C_D130A  S_MAX_CONT_B1,"")</f>
        <v>#NAME?</v>
      </c>
      <c r="M190" s="686"/>
      <c r="N190" s="685" t="e" cm="1">
        <f t="array" ref="N190">IF(C_D130A  S_Take_Off_B1,C_D130A  S_Take_Off_B1,"")</f>
        <v>#NAME?</v>
      </c>
      <c r="O190" s="686"/>
      <c r="P190" s="685" t="e" cm="1">
        <f t="array" ref="P190">IF('RATINGS QUESTION'!$K$5="YES","N/A", IF(C_D130A S_MAX_CONT_B2,C_D130A S_MAX_CONT_B2,""))</f>
        <v>#NAME?</v>
      </c>
      <c r="Q190" s="687"/>
      <c r="R190" s="686"/>
      <c r="S190" s="685" t="e" cm="1">
        <f t="array" ref="S190">IF('RATINGS QUESTION'!$K$5="YES","N/A", IF(C_D130A S_Take_Off_B2,C_D130A S_Take_Off_B2,""))</f>
        <v>#NAME?</v>
      </c>
      <c r="T190" s="687"/>
      <c r="U190" s="145"/>
    </row>
    <row r="191" spans="1:21" ht="12.75" customHeight="1" x14ac:dyDescent="0.2">
      <c r="A191" s="145"/>
      <c r="B191" s="164" t="s">
        <v>388</v>
      </c>
      <c r="C191" s="164" t="s">
        <v>393</v>
      </c>
      <c r="D191" s="164" t="s">
        <v>470</v>
      </c>
      <c r="E191" s="165" t="s">
        <v>333</v>
      </c>
      <c r="F191" s="165"/>
      <c r="G191" s="145"/>
      <c r="H191" s="685" t="e" cm="1">
        <f t="array" ref="H191">IF(C_D130B S_Perf_GI,C_D130B S_Perf_GI,"")</f>
        <v>#NAME?</v>
      </c>
      <c r="I191" s="686"/>
      <c r="J191" s="685" t="e" cm="1">
        <f t="array" ref="J191">IF(C_D130B S_Perf_AI,C_D130B S_Perf_AI,"")</f>
        <v>#NAME?</v>
      </c>
      <c r="K191" s="686"/>
      <c r="L191" s="685" t="e" cm="1">
        <f t="array" ref="L191">IF(C_D130B  S_MAX_CONT_B1,C_D130B  S_MAX_CONT_B1,"")</f>
        <v>#NAME?</v>
      </c>
      <c r="M191" s="686"/>
      <c r="N191" s="685" t="e" cm="1">
        <f t="array" ref="N191">IF(C_D130B  S_Take_Off_B1,C_D130B  S_Take_Off_B1,"")</f>
        <v>#NAME?</v>
      </c>
      <c r="O191" s="686"/>
      <c r="P191" s="685" t="e" cm="1">
        <f t="array" ref="P191">IF('RATINGS QUESTION'!$K$5="YES","N/A", IF(C_D130B S_MAX_CONT_B2,C_D130B S_MAX_CONT_B2,""))</f>
        <v>#NAME?</v>
      </c>
      <c r="Q191" s="687"/>
      <c r="R191" s="686"/>
      <c r="S191" s="685" t="e" cm="1">
        <f t="array" ref="S191">IF('RATINGS QUESTION'!$K$5="YES","N/A", IF(C_D130B S_Take_Off_B2,C_D130B S_Take_Off_B2,""))</f>
        <v>#NAME?</v>
      </c>
      <c r="T191" s="687"/>
      <c r="U191" s="145"/>
    </row>
    <row r="192" spans="1:21" x14ac:dyDescent="0.2">
      <c r="A192" s="145"/>
      <c r="B192" s="164" t="s">
        <v>387</v>
      </c>
      <c r="C192" s="164" t="s">
        <v>394</v>
      </c>
      <c r="D192" s="164" t="s">
        <v>471</v>
      </c>
      <c r="E192" s="165" t="s">
        <v>333</v>
      </c>
      <c r="F192" s="165"/>
      <c r="G192" s="145"/>
      <c r="H192" s="685" t="e" cm="1">
        <f t="array" ref="H192">IF(C_D263A S_Perf_GI,C_D263A S_Perf_GI,"")</f>
        <v>#NAME?</v>
      </c>
      <c r="I192" s="686"/>
      <c r="J192" s="685" t="e" cm="1">
        <f t="array" ref="J192">IF(C_D263A S_Perf_AI,C_D263A S_Perf_AI,"")</f>
        <v>#NAME?</v>
      </c>
      <c r="K192" s="686"/>
      <c r="L192" s="685" t="e" cm="1">
        <f t="array" ref="L192">IF(C_D263A  S_MAX_CONT_B1,C_D263A  S_MAX_CONT_B1,"")</f>
        <v>#NAME?</v>
      </c>
      <c r="M192" s="686"/>
      <c r="N192" s="685" t="e" cm="1">
        <f t="array" ref="N192">IF(C_D263A  S_Take_Off_B1,C_D263A  S_Take_Off_B1,"")</f>
        <v>#NAME?</v>
      </c>
      <c r="O192" s="686"/>
      <c r="P192" s="685" t="e" cm="1">
        <f t="array" ref="P192">IF('RATINGS QUESTION'!$K$5="YES","N/A", IF(C_D263A S_MAX_CONT_B2,C_D263A S_MAX_CONT_B2,""))</f>
        <v>#NAME?</v>
      </c>
      <c r="Q192" s="687"/>
      <c r="R192" s="686"/>
      <c r="S192" s="685" t="e" cm="1">
        <f t="array" ref="S192">IF('RATINGS QUESTION'!$K$5="YES","N/A", IF(C_D263A S_Take_Off_B2,C_D263A S_Take_Off_B2,""))</f>
        <v>#NAME?</v>
      </c>
      <c r="T192" s="687"/>
      <c r="U192" s="145"/>
    </row>
    <row r="193" spans="1:21" x14ac:dyDescent="0.2">
      <c r="A193" s="145"/>
      <c r="B193" s="164" t="s">
        <v>388</v>
      </c>
      <c r="C193" s="164" t="s">
        <v>395</v>
      </c>
      <c r="D193" s="164" t="s">
        <v>471</v>
      </c>
      <c r="E193" s="165" t="s">
        <v>333</v>
      </c>
      <c r="F193" s="165"/>
      <c r="G193" s="145"/>
      <c r="H193" s="685" t="e" cm="1">
        <f t="array" ref="H193">IF(C_D263B S_Perf_GI,C_D263B S_Perf_GI,"")</f>
        <v>#NAME?</v>
      </c>
      <c r="I193" s="686"/>
      <c r="J193" s="685" t="e" cm="1">
        <f t="array" ref="J193">IF(C_D263B S_Perf_AI,C_D263B S_Perf_AI,"")</f>
        <v>#NAME?</v>
      </c>
      <c r="K193" s="686"/>
      <c r="L193" s="685" t="e" cm="1">
        <f t="array" ref="L193">IF(C_D263B  S_MAX_CONT_B1,C_D263B  S_MAX_CONT_B1,"")</f>
        <v>#NAME?</v>
      </c>
      <c r="M193" s="686"/>
      <c r="N193" s="685" t="e" cm="1">
        <f t="array" ref="N193">IF(C_D263B  S_Take_Off_B1,C_D263B  S_Take_Off_B1,"")</f>
        <v>#NAME?</v>
      </c>
      <c r="O193" s="686"/>
      <c r="P193" s="685" t="e" cm="1">
        <f t="array" ref="P193">IF('RATINGS QUESTION'!$K$5="YES","N/A", IF(C_D263B S_MAX_CONT_B2,C_D263B S_MAX_CONT_B2,""))</f>
        <v>#NAME?</v>
      </c>
      <c r="Q193" s="687"/>
      <c r="R193" s="686"/>
      <c r="S193" s="685" t="e" cm="1">
        <f t="array" ref="S193">IF('RATINGS QUESTION'!$K$5="YES","N/A", IF(C_D263B S_Take_Off_B2,C_D263B S_Take_Off_B2,""))</f>
        <v>#NAME?</v>
      </c>
      <c r="T193" s="687"/>
      <c r="U193" s="145"/>
    </row>
    <row r="194" spans="1:21" x14ac:dyDescent="0.2">
      <c r="A194" s="145"/>
      <c r="B194" s="164" t="s">
        <v>387</v>
      </c>
      <c r="C194" s="164" t="s">
        <v>396</v>
      </c>
      <c r="D194" s="164" t="s">
        <v>472</v>
      </c>
      <c r="E194" s="165" t="s">
        <v>333</v>
      </c>
      <c r="F194" s="165"/>
      <c r="G194" s="145"/>
      <c r="H194" s="685" t="e" cm="1">
        <f t="array" ref="H194">IF(C_D265A S_Perf_GI,C_D265A S_Perf_GI,"")</f>
        <v>#NAME?</v>
      </c>
      <c r="I194" s="686"/>
      <c r="J194" s="685" t="e" cm="1">
        <f t="array" ref="J194">IF(C_D265A S_Perf_AI,C_D265A S_Perf_AI,"")</f>
        <v>#NAME?</v>
      </c>
      <c r="K194" s="686"/>
      <c r="L194" s="685" t="e" cm="1">
        <f t="array" ref="L194">IF(C_D265A  S_MAX_CONT_B1,C_D265A  S_MAX_CONT_B1,"")</f>
        <v>#NAME?</v>
      </c>
      <c r="M194" s="686"/>
      <c r="N194" s="685" t="e" cm="1">
        <f t="array" ref="N194">IF(C_D265A  S_Take_Off_B1,C_D265A  S_Take_Off_B1,"")</f>
        <v>#NAME?</v>
      </c>
      <c r="O194" s="686"/>
      <c r="P194" s="685" t="e" cm="1">
        <f t="array" ref="P194">IF('RATINGS QUESTION'!$K$5="YES","N/A", IF(C_D265A S_MAX_CONT_B2,C_D265A S_MAX_CONT_B2,""))</f>
        <v>#NAME?</v>
      </c>
      <c r="Q194" s="687"/>
      <c r="R194" s="686"/>
      <c r="S194" s="685" t="e" cm="1">
        <f t="array" ref="S194">IF('RATINGS QUESTION'!$K$5="YES","N/A", IF(C_D265A S_Take_Off_B2,C_D265A S_Take_Off_B2,""))</f>
        <v>#NAME?</v>
      </c>
      <c r="T194" s="687"/>
      <c r="U194" s="145"/>
    </row>
    <row r="195" spans="1:21" x14ac:dyDescent="0.2">
      <c r="A195" s="145"/>
      <c r="B195" s="164" t="s">
        <v>388</v>
      </c>
      <c r="C195" s="164" t="s">
        <v>398</v>
      </c>
      <c r="D195" s="164" t="s">
        <v>472</v>
      </c>
      <c r="E195" s="165" t="s">
        <v>333</v>
      </c>
      <c r="F195" s="165"/>
      <c r="G195" s="145"/>
      <c r="H195" s="685" t="e" cm="1">
        <f t="array" ref="H195">IF(C_D265B S_Perf_GI,C_D265B S_Perf_GI,"")</f>
        <v>#NAME?</v>
      </c>
      <c r="I195" s="686"/>
      <c r="J195" s="685" t="e" cm="1">
        <f t="array" ref="J195">IF(C_D265B S_Perf_AI,C_D265B S_Perf_AI,"")</f>
        <v>#NAME?</v>
      </c>
      <c r="K195" s="686"/>
      <c r="L195" s="685" t="e" cm="1">
        <f t="array" ref="L195">IF(C_D265B  S_MAX_CONT_B1,C_D265B  S_MAX_CONT_B1,"")</f>
        <v>#NAME?</v>
      </c>
      <c r="M195" s="686"/>
      <c r="N195" s="685" t="e" cm="1">
        <f t="array" ref="N195">IF(C_D265B  S_Take_Off_B1,C_D265B  S_Take_Off_B1,"")</f>
        <v>#NAME?</v>
      </c>
      <c r="O195" s="686"/>
      <c r="P195" s="685" t="e" cm="1">
        <f t="array" ref="P195">IF('RATINGS QUESTION'!$K$5="YES","N/A", IF(C_D265B S_MAX_CONT_B2,C_D265B S_MAX_CONT_B2,""))</f>
        <v>#NAME?</v>
      </c>
      <c r="Q195" s="687"/>
      <c r="R195" s="686"/>
      <c r="S195" s="685" t="e" cm="1">
        <f t="array" ref="S195">IF('RATINGS QUESTION'!$K$5="YES","N/A", IF(C_D265B S_Take_Off_B2,C_D265B S_Take_Off_B2,""))</f>
        <v>#NAME?</v>
      </c>
      <c r="T195" s="687"/>
      <c r="U195" s="145"/>
    </row>
    <row r="196" spans="1:21" ht="12.75" customHeight="1" x14ac:dyDescent="0.2">
      <c r="A196" s="207"/>
      <c r="B196" s="164" t="s">
        <v>387</v>
      </c>
      <c r="C196" s="164" t="s">
        <v>437</v>
      </c>
      <c r="D196" s="164" t="s">
        <v>473</v>
      </c>
      <c r="E196" s="165" t="s">
        <v>333</v>
      </c>
      <c r="F196" s="165"/>
      <c r="G196" s="211"/>
      <c r="H196" s="685" t="e" cm="1">
        <f t="array" ref="H196">IF(C_D345A S_Perf_GI,C_D345A S_Perf_GI,"")</f>
        <v>#NAME?</v>
      </c>
      <c r="I196" s="686"/>
      <c r="J196" s="685" t="e" cm="1">
        <f t="array" ref="J196">IF(C_D345A S_Perf_AI,C_D345A S_Perf_AI,"")</f>
        <v>#NAME?</v>
      </c>
      <c r="K196" s="686"/>
      <c r="L196" s="685" t="e" cm="1">
        <f t="array" ref="L196">IF(C_D345A  S_MAX_CONT_B1,C_D345A  S_MAX_CONT_B1,"")</f>
        <v>#NAME?</v>
      </c>
      <c r="M196" s="686"/>
      <c r="N196" s="685" t="e" cm="1">
        <f t="array" ref="N196">IF(C_D345A  S_Take_Off_B1,C_D345A  S_Take_Off_B1,"")</f>
        <v>#NAME?</v>
      </c>
      <c r="O196" s="686"/>
      <c r="P196" s="685" t="e" cm="1">
        <f t="array" ref="P196">IF('RATINGS QUESTION'!$K$5="YES","N/A", IF(C_D345A S_MAX_CONT_B2,C_D345A S_MAX_CONT_B2,""))</f>
        <v>#NAME?</v>
      </c>
      <c r="Q196" s="687"/>
      <c r="R196" s="686"/>
      <c r="S196" s="685" t="e" cm="1">
        <f t="array" ref="S196">IF('RATINGS QUESTION'!$K$5="YES","N/A", IF(C_D345A S_Take_Off_B2,C_D345A S_Take_Off_B2,""))</f>
        <v>#NAME?</v>
      </c>
      <c r="T196" s="687"/>
      <c r="U196" s="151"/>
    </row>
    <row r="197" spans="1:21" ht="12.75" customHeight="1" x14ac:dyDescent="0.2">
      <c r="A197" s="145"/>
      <c r="B197" s="164" t="s">
        <v>388</v>
      </c>
      <c r="C197" s="164" t="s">
        <v>437</v>
      </c>
      <c r="D197" s="164" t="s">
        <v>473</v>
      </c>
      <c r="E197" s="165" t="s">
        <v>333</v>
      </c>
      <c r="F197" s="165"/>
      <c r="G197" s="162"/>
      <c r="H197" s="685" t="e" cm="1">
        <f t="array" ref="H197">IF(C_D345B S_Perf_GI,C_D345B S_Perf_GI,"")</f>
        <v>#NAME?</v>
      </c>
      <c r="I197" s="686"/>
      <c r="J197" s="685" t="e" cm="1">
        <f t="array" ref="J197">IF(C_D345B S_Perf_AI,C_D345B S_Perf_AI,"")</f>
        <v>#NAME?</v>
      </c>
      <c r="K197" s="686"/>
      <c r="L197" s="685" t="e" cm="1">
        <f t="array" ref="L197">IF(C_D345B  S_MAX_CONT_B1,C_D345B  S_MAX_CONT_B1,"")</f>
        <v>#NAME?</v>
      </c>
      <c r="M197" s="686"/>
      <c r="N197" s="685" t="e" cm="1">
        <f t="array" ref="N197">IF(C_D345B  S_Take_Off_B1,C_D345B  S_Take_Off_B1,"")</f>
        <v>#NAME?</v>
      </c>
      <c r="O197" s="686"/>
      <c r="P197" s="685" t="e" cm="1">
        <f t="array" ref="P197">IF('RATINGS QUESTION'!$K$5="YES","N/A", IF(C_D345B S_MAX_CONT_B2,C_D345B S_MAX_CONT_B2,""))</f>
        <v>#NAME?</v>
      </c>
      <c r="Q197" s="687"/>
      <c r="R197" s="686"/>
      <c r="S197" s="685" t="e" cm="1">
        <f t="array" ref="S197">IF('RATINGS QUESTION'!$K$5="YES","N/A", IF(C_D345B S_Take_Off_B2,C_D345B S_Take_Off_B2,""))</f>
        <v>#NAME?</v>
      </c>
      <c r="T197" s="687"/>
      <c r="U197" s="81"/>
    </row>
    <row r="198" spans="1:21" x14ac:dyDescent="0.2">
      <c r="A198" s="145"/>
      <c r="B198" s="164" t="s">
        <v>387</v>
      </c>
      <c r="C198" s="164" t="s">
        <v>449</v>
      </c>
      <c r="D198" s="164" t="s">
        <v>474</v>
      </c>
      <c r="E198" s="225" t="s">
        <v>333</v>
      </c>
      <c r="F198" s="225"/>
      <c r="G198" s="145"/>
      <c r="H198" s="720" t="e" cm="1">
        <f t="array" ref="H198">IF(C_T54 S_Perf_GI&lt;C_T5_SEL_A S_Perf_GI,C_T5_SEL_A S_Perf_GI,"N/A")</f>
        <v>#NAME?</v>
      </c>
      <c r="I198" s="721"/>
      <c r="J198" s="720" t="e" cm="1">
        <f t="array" ref="J198">IF(C_T54 S_Perf_AI&lt;C_T5_SEL_A S_Perf_AI,C_T5_SEL_A S_Perf_AI,"N/A")</f>
        <v>#NAME?</v>
      </c>
      <c r="K198" s="721"/>
      <c r="L198" s="720" t="e" cm="1">
        <f t="array" ref="L198">IF(C_T54 S_MAX_CONT_B1&lt;C_T5_SEL_A S_MAX_CONT_B1,C_T5_SEL_A S_MAX_CONT_B1,"N/A")</f>
        <v>#NAME?</v>
      </c>
      <c r="M198" s="721"/>
      <c r="N198" s="720" t="e" cm="1">
        <f t="array" ref="N198">IF(C_T54 S_Take_Off_B1&lt;C_T5_SEL_A S_Take_Off_B1,C_T5_SEL_A S_Take_Off_B1,"N/A")</f>
        <v>#NAME?</v>
      </c>
      <c r="O198" s="721"/>
      <c r="P198" s="720" t="e" cm="1">
        <f t="array" ref="P198">IF('RATINGS QUESTION'!$K$5="YES","N/A",IF(C_T54 S_MAX_CONT_B2&lt;C_T5_SEL_A S_MAX_CONT_B2,C_T5_SEL_A S_MAX_CONT_B2,"N/A"))</f>
        <v>#NAME?</v>
      </c>
      <c r="Q198" s="724"/>
      <c r="R198" s="721"/>
      <c r="S198" s="720" t="e" cm="1">
        <f t="array" ref="S198">IF('RATINGS QUESTION'!$K$5="YES","N/A",IF(C_T54 S_Take_Off_B2&lt;C_T5_SEL_A S_Take_Off_B2,C_T5_SEL_A S_Take_Off_B2,"N/A"))</f>
        <v>#NAME?</v>
      </c>
      <c r="T198" s="724"/>
      <c r="U198" s="145"/>
    </row>
    <row r="199" spans="1:21" x14ac:dyDescent="0.2">
      <c r="A199" s="145"/>
      <c r="B199" s="164" t="s">
        <v>388</v>
      </c>
      <c r="C199" s="164" t="s">
        <v>449</v>
      </c>
      <c r="D199" s="164" t="s">
        <v>474</v>
      </c>
      <c r="E199" s="225" t="s">
        <v>333</v>
      </c>
      <c r="F199" s="225"/>
      <c r="G199" s="145"/>
      <c r="H199" s="720" t="e" cm="1">
        <f t="array" ref="H199">IF(C_T54 S_Perf_GI&lt;C_T5_SEL_B S_Perf_GI,C_T5_SEL_B S_Perf_GI,"N/A")</f>
        <v>#NAME?</v>
      </c>
      <c r="I199" s="721"/>
      <c r="J199" s="720" t="e" cm="1">
        <f t="array" ref="J199">IF(C_T54 S_Perf_AI&lt;C_T5_SEL_B S_Perf_AI,C_T5_SEL_B S_Perf_AI,"N/A")</f>
        <v>#NAME?</v>
      </c>
      <c r="K199" s="721"/>
      <c r="L199" s="720" t="e" cm="1">
        <f t="array" ref="L199">IF(C_T54 S_MAX_CONT_B1&lt;C_T5_SEL_B S_MAX_CONT_B1,C_T5_SEL_B S_MAX_CONT_B1,"N/A")</f>
        <v>#NAME?</v>
      </c>
      <c r="M199" s="721"/>
      <c r="N199" s="720" t="e" cm="1">
        <f t="array" ref="N199">IF(C_T54 S_Take_Off_B1&lt;C_T5_SEL_B S_Take_Off_B1,C_T5_SEL_B S_Take_Off_B1,"N/A")</f>
        <v>#NAME?</v>
      </c>
      <c r="O199" s="721"/>
      <c r="P199" s="720" t="e" cm="1">
        <f t="array" ref="P199">IF('RATINGS QUESTION'!$K$5="YES","N/A",IF(C_T54 S_MAX_CONT_B2&lt;C_T5_SEL_B S_MAX_CONT_B2,C_T5_SEL_B S_MAX_CONT_B2,"N/A"))</f>
        <v>#NAME?</v>
      </c>
      <c r="Q199" s="724"/>
      <c r="R199" s="721"/>
      <c r="S199" s="720" t="e" cm="1">
        <f t="array" ref="S199">IF('RATINGS QUESTION'!$K$5="YES","N/A",IF(C_T54 S_Take_Off_B2&lt;C_T5_SEL_B S_Take_Off_B2,C_T5_SEL_B S_Take_Off_B2,"N/A"))</f>
        <v>#NAME?</v>
      </c>
      <c r="T199" s="724"/>
      <c r="U199" s="145"/>
    </row>
    <row r="200" spans="1:21" ht="12.75" customHeight="1" x14ac:dyDescent="0.2">
      <c r="A200" s="145"/>
      <c r="B200" s="164" t="s">
        <v>387</v>
      </c>
      <c r="C200" s="164" t="s">
        <v>399</v>
      </c>
      <c r="D200" s="164" t="s">
        <v>418</v>
      </c>
      <c r="E200" s="165" t="s">
        <v>333</v>
      </c>
      <c r="F200" s="165"/>
      <c r="G200" s="145"/>
      <c r="H200" s="685" t="e" cm="1">
        <f t="array" ref="H200">IF(C_D304A S_Perf_GI,C_D304A S_Perf_GI,"")</f>
        <v>#NAME?</v>
      </c>
      <c r="I200" s="686"/>
      <c r="J200" s="685" t="e" cm="1">
        <f t="array" ref="J200">IF(C_D304A S_Perf_AI,C_D304A S_Perf_AI,"")</f>
        <v>#NAME?</v>
      </c>
      <c r="K200" s="686"/>
      <c r="L200" s="685" t="e" cm="1">
        <f t="array" ref="L200">IF(C_D304A  S_MAX_CONT_B1,C_D304A  S_MAX_CONT_B1,"")</f>
        <v>#NAME?</v>
      </c>
      <c r="M200" s="686"/>
      <c r="N200" s="685" t="e" cm="1">
        <f t="array" ref="N200">IF(C_D304A  S_Take_Off_B1,C_D304A  S_Take_Off_B1,"")</f>
        <v>#NAME?</v>
      </c>
      <c r="O200" s="686"/>
      <c r="P200" s="685" t="e" cm="1">
        <f t="array" ref="P200">IF('RATINGS QUESTION'!$K$5="YES","N/A", IF(C_D304A S_MAX_CONT_B2,C_D304A S_MAX_CONT_B2,""))</f>
        <v>#NAME?</v>
      </c>
      <c r="Q200" s="687"/>
      <c r="R200" s="686"/>
      <c r="S200" s="685" t="e" cm="1">
        <f t="array" ref="S200">IF('RATINGS QUESTION'!$K$5="YES","N/A", IF(C_D304A S_Take_Off_B2,C_D304A S_Take_Off_B2,""))</f>
        <v>#NAME?</v>
      </c>
      <c r="T200" s="687"/>
      <c r="U200" s="151"/>
    </row>
    <row r="201" spans="1:21" ht="12.75" customHeight="1" x14ac:dyDescent="0.2">
      <c r="A201" s="145"/>
      <c r="B201" s="164" t="s">
        <v>388</v>
      </c>
      <c r="C201" s="164" t="s">
        <v>400</v>
      </c>
      <c r="D201" s="164" t="s">
        <v>418</v>
      </c>
      <c r="E201" s="165" t="s">
        <v>333</v>
      </c>
      <c r="F201" s="165"/>
      <c r="G201" s="145"/>
      <c r="H201" s="685" t="e" cm="1">
        <f t="array" ref="H201">IF(C_D304B S_Perf_GI,C_D304B S_Perf_GI,"")</f>
        <v>#NAME?</v>
      </c>
      <c r="I201" s="686"/>
      <c r="J201" s="685" t="e" cm="1">
        <f t="array" ref="J201">IF(C_D304B S_Perf_AI,C_D304B S_Perf_AI,"")</f>
        <v>#NAME?</v>
      </c>
      <c r="K201" s="686"/>
      <c r="L201" s="685" t="e" cm="1">
        <f t="array" ref="L201">IF(C_D304B  S_MAX_CONT_B1,C_D304B  S_MAX_CONT_B1,"")</f>
        <v>#NAME?</v>
      </c>
      <c r="M201" s="686"/>
      <c r="N201" s="685" t="e" cm="1">
        <f t="array" ref="N201">IF(C_D304B  S_Take_Off_B1,C_D304B  S_Take_Off_B1,"")</f>
        <v>#NAME?</v>
      </c>
      <c r="O201" s="686"/>
      <c r="P201" s="685" t="e" cm="1">
        <f t="array" ref="P201">IF('RATINGS QUESTION'!$K$5="YES","N/A", IF(C_D304B S_MAX_CONT_B2,C_D304B S_MAX_CONT_B2,""))</f>
        <v>#NAME?</v>
      </c>
      <c r="Q201" s="687"/>
      <c r="R201" s="686"/>
      <c r="S201" s="685" t="e" cm="1">
        <f t="array" ref="S201">IF('RATINGS QUESTION'!$K$5="YES","N/A", IF(C_D304B S_Take_Off_B2,C_D304B S_Take_Off_B2,""))</f>
        <v>#NAME?</v>
      </c>
      <c r="T201" s="687"/>
      <c r="U201" s="151"/>
    </row>
    <row r="202" spans="1:21" ht="12.75" customHeight="1" x14ac:dyDescent="0.2">
      <c r="A202" s="145"/>
      <c r="B202" s="164" t="s">
        <v>387</v>
      </c>
      <c r="C202" s="164" t="s">
        <v>401</v>
      </c>
      <c r="D202" s="164" t="s">
        <v>436</v>
      </c>
      <c r="E202" s="165" t="s">
        <v>380</v>
      </c>
      <c r="F202" s="165"/>
      <c r="G202" s="145"/>
      <c r="H202" s="685" t="e" cm="1">
        <f t="array" ref="H202">IF(C_D114A S_Perf_GI,C_D114A S_Perf_GI,"")</f>
        <v>#NAME?</v>
      </c>
      <c r="I202" s="686"/>
      <c r="J202" s="685" t="e" cm="1">
        <f t="array" ref="J202">IF(C_D114A S_Perf_AI,C_D114A S_Perf_AI,"")</f>
        <v>#NAME?</v>
      </c>
      <c r="K202" s="686"/>
      <c r="L202" s="685" t="e" cm="1">
        <f t="array" ref="L202">IF(C_D114A  S_MAX_CONT_B1,C_D114A  S_MAX_CONT_B1,"")</f>
        <v>#NAME?</v>
      </c>
      <c r="M202" s="686"/>
      <c r="N202" s="685" t="e" cm="1">
        <f t="array" ref="N202">IF(C_D114A  S_Take_Off_B1,C_D114A  S_Take_Off_B1,"")</f>
        <v>#NAME?</v>
      </c>
      <c r="O202" s="686"/>
      <c r="P202" s="685" t="e" cm="1">
        <f t="array" ref="P202">IF('RATINGS QUESTION'!$K$5="YES","N/A", IF(C_D114A S_MAX_CONT_B2,C_D114A S_MAX_CONT_B2,""))</f>
        <v>#NAME?</v>
      </c>
      <c r="Q202" s="687"/>
      <c r="R202" s="686"/>
      <c r="S202" s="685" t="e" cm="1">
        <f t="array" ref="S202">IF('RATINGS QUESTION'!$K$5="YES","N/A", IF(C_D114A S_Take_Off_B2,C_D114A S_Take_Off_B2,""))</f>
        <v>#NAME?</v>
      </c>
      <c r="T202" s="687"/>
      <c r="U202" s="151"/>
    </row>
    <row r="203" spans="1:21" ht="12.75" customHeight="1" x14ac:dyDescent="0.2">
      <c r="A203" s="145"/>
      <c r="B203" s="164" t="s">
        <v>388</v>
      </c>
      <c r="C203" s="164" t="s">
        <v>402</v>
      </c>
      <c r="D203" s="164" t="s">
        <v>436</v>
      </c>
      <c r="E203" s="165" t="s">
        <v>380</v>
      </c>
      <c r="F203" s="165"/>
      <c r="G203" s="145"/>
      <c r="H203" s="685" t="e" cm="1">
        <f t="array" ref="H203">IF(C_D114B S_Perf_GI,C_D114B S_Perf_GI,"")</f>
        <v>#NAME?</v>
      </c>
      <c r="I203" s="686"/>
      <c r="J203" s="685" t="e" cm="1">
        <f t="array" ref="J203">IF(C_D114B S_Perf_AI,C_D114B S_Perf_AI,"")</f>
        <v>#NAME?</v>
      </c>
      <c r="K203" s="686"/>
      <c r="L203" s="685" t="e" cm="1">
        <f t="array" ref="L203">IF(C_D114B  S_MAX_CONT_B1,C_D114B  S_MAX_CONT_B1,"")</f>
        <v>#NAME?</v>
      </c>
      <c r="M203" s="686"/>
      <c r="N203" s="685" t="e" cm="1">
        <f t="array" ref="N203">IF(C_D114B  S_Take_Off_B1,C_D114B  S_Take_Off_B1,"")</f>
        <v>#NAME?</v>
      </c>
      <c r="O203" s="686"/>
      <c r="P203" s="685" t="e" cm="1">
        <f t="array" ref="P203">IF('RATINGS QUESTION'!$K$5="YES","N/A", IF(C_D114B S_MAX_CONT_B2,C_D114B S_MAX_CONT_B2,""))</f>
        <v>#NAME?</v>
      </c>
      <c r="Q203" s="687"/>
      <c r="R203" s="686"/>
      <c r="S203" s="685" t="e" cm="1">
        <f t="array" ref="S203">IF('RATINGS QUESTION'!$K$5="YES","N/A", IF(C_D114B S_Take_Off_B2,C_D114B S_Take_Off_B2,""))</f>
        <v>#NAME?</v>
      </c>
      <c r="T203" s="687"/>
      <c r="U203" s="151"/>
    </row>
    <row r="204" spans="1:21" ht="12.75" customHeight="1" x14ac:dyDescent="0.2">
      <c r="A204" s="145"/>
      <c r="B204" s="164" t="s">
        <v>387</v>
      </c>
      <c r="C204" s="164" t="s">
        <v>475</v>
      </c>
      <c r="D204" s="164" t="s">
        <v>397</v>
      </c>
      <c r="E204" s="237" t="s">
        <v>380</v>
      </c>
      <c r="F204" s="165"/>
      <c r="G204" s="145"/>
      <c r="H204" s="685" t="e" cm="1">
        <f t="array" ref="H204">IF(C_D217A S_Perf_GI,C_D217A S_Perf_GI,"")</f>
        <v>#NAME?</v>
      </c>
      <c r="I204" s="686"/>
      <c r="J204" s="685" t="e" cm="1">
        <f t="array" ref="J204">IF(C_D217A S_Perf_AI,C_D217A S_Perf_AI,"")</f>
        <v>#NAME?</v>
      </c>
      <c r="K204" s="686"/>
      <c r="L204" s="685" t="e" cm="1">
        <f t="array" ref="L204">IF(C_D217A  S_MAX_CONT_B1,C_D217A  S_MAX_CONT_B1,"")</f>
        <v>#NAME?</v>
      </c>
      <c r="M204" s="686"/>
      <c r="N204" s="685" t="e" cm="1">
        <f t="array" ref="N204">IF(C_D217A  S_Take_Off_B1,C_D217A  S_Take_Off_B1,"")</f>
        <v>#NAME?</v>
      </c>
      <c r="O204" s="686"/>
      <c r="P204" s="685" t="e" cm="1">
        <f t="array" ref="P204">IF('RATINGS QUESTION'!$K$5="YES","N/A", IF(C_D217A S_MAX_CONT_B2,C_D217A S_MAX_CONT_B2,""))</f>
        <v>#NAME?</v>
      </c>
      <c r="Q204" s="687"/>
      <c r="R204" s="686"/>
      <c r="S204" s="685" t="e" cm="1">
        <f t="array" ref="S204">IF('RATINGS QUESTION'!$K$5="YES","N/A", IF(C_D217A S_Take_Off_B2,C_D217A S_Take_Off_B2,""))</f>
        <v>#NAME?</v>
      </c>
      <c r="T204" s="687"/>
      <c r="U204" s="151"/>
    </row>
    <row r="205" spans="1:21" ht="12.75" customHeight="1" x14ac:dyDescent="0.2">
      <c r="A205" s="145"/>
      <c r="B205" s="164" t="s">
        <v>388</v>
      </c>
      <c r="C205" s="164" t="s">
        <v>475</v>
      </c>
      <c r="D205" s="164" t="s">
        <v>397</v>
      </c>
      <c r="E205" s="237" t="s">
        <v>380</v>
      </c>
      <c r="F205" s="165"/>
      <c r="G205" s="145"/>
      <c r="H205" s="685" t="e" cm="1">
        <f t="array" ref="H205">IF(C_D217B S_Perf_GI,C_D217B S_Perf_GI,"")</f>
        <v>#NAME?</v>
      </c>
      <c r="I205" s="686"/>
      <c r="J205" s="685" t="e" cm="1">
        <f t="array" ref="J205">IF(C_D217B S_Perf_AI,C_D217B S_Perf_AI,"")</f>
        <v>#NAME?</v>
      </c>
      <c r="K205" s="686"/>
      <c r="L205" s="685" t="e" cm="1">
        <f t="array" ref="L205">IF(C_D217B  S_MAX_CONT_B1,C_D217B  S_MAX_CONT_B1,"")</f>
        <v>#NAME?</v>
      </c>
      <c r="M205" s="686"/>
      <c r="N205" s="685" t="e" cm="1">
        <f t="array" ref="N205">IF(C_D217B  S_Take_Off_B1,C_D217B  S_Take_Off_B1,"")</f>
        <v>#NAME?</v>
      </c>
      <c r="O205" s="686"/>
      <c r="P205" s="685" t="e" cm="1">
        <f t="array" ref="P205">IF('RATINGS QUESTION'!$K$5="YES","N/A", IF(C_D217B S_MAX_CONT_B2,C_D217B S_MAX_CONT_B2,""))</f>
        <v>#NAME?</v>
      </c>
      <c r="Q205" s="687"/>
      <c r="R205" s="686"/>
      <c r="S205" s="685" t="e" cm="1">
        <f t="array" ref="S205">IF('RATINGS QUESTION'!$K$5="YES","N/A", IF(C_D217B S_Take_Off_B2,C_D217B S_Take_Off_B2,""))</f>
        <v>#NAME?</v>
      </c>
      <c r="T205" s="687"/>
      <c r="U205" s="151"/>
    </row>
    <row r="206" spans="1:21" ht="12.75" customHeight="1" x14ac:dyDescent="0.2">
      <c r="A206" s="145"/>
      <c r="B206" s="164" t="s">
        <v>387</v>
      </c>
      <c r="C206" s="164" t="s">
        <v>403</v>
      </c>
      <c r="D206" s="164" t="s">
        <v>476</v>
      </c>
      <c r="E206" s="165" t="s">
        <v>380</v>
      </c>
      <c r="F206" s="165"/>
      <c r="G206" s="145"/>
      <c r="H206" s="725" t="s">
        <v>1</v>
      </c>
      <c r="I206" s="727"/>
      <c r="J206" s="725" t="s">
        <v>1</v>
      </c>
      <c r="K206" s="727"/>
      <c r="L206" s="685" t="e" cm="1">
        <f t="array" ref="L206">IF(C_D131A  S_MAX_CONT_B1,C_D131A  S_MAX_CONT_B1,"")</f>
        <v>#NAME?</v>
      </c>
      <c r="M206" s="686"/>
      <c r="N206" s="685" t="e" cm="1">
        <f t="array" ref="N206">IF(C_D131A  S_Take_Off_B1,C_D131A  S_Take_Off_B1,"")</f>
        <v>#NAME?</v>
      </c>
      <c r="O206" s="686"/>
      <c r="P206" s="685" t="e" cm="1">
        <f t="array" ref="P206">IF('RATINGS QUESTION'!$K$5="YES","N/A", IF(C_D131A S_MAX_CONT_B2,C_D131A S_MAX_CONT_B2,""))</f>
        <v>#NAME?</v>
      </c>
      <c r="Q206" s="687"/>
      <c r="R206" s="686"/>
      <c r="S206" s="685" t="e" cm="1">
        <f t="array" ref="S206">IF('RATINGS QUESTION'!$K$5="YES","N/A", IF(C_D131A S_Take_Off_B2,C_D131A S_Take_Off_B2,""))</f>
        <v>#NAME?</v>
      </c>
      <c r="T206" s="687"/>
      <c r="U206" s="151"/>
    </row>
    <row r="207" spans="1:21" ht="12.75" customHeight="1" x14ac:dyDescent="0.2">
      <c r="A207" s="145"/>
      <c r="B207" s="164" t="s">
        <v>388</v>
      </c>
      <c r="C207" s="164" t="s">
        <v>403</v>
      </c>
      <c r="D207" s="164" t="s">
        <v>476</v>
      </c>
      <c r="E207" s="165" t="s">
        <v>380</v>
      </c>
      <c r="F207" s="165"/>
      <c r="G207" s="145"/>
      <c r="H207" s="725" t="s">
        <v>1</v>
      </c>
      <c r="I207" s="727"/>
      <c r="J207" s="725" t="s">
        <v>1</v>
      </c>
      <c r="K207" s="727"/>
      <c r="L207" s="685" t="e" cm="1">
        <f t="array" ref="L207">IF(C_D131B  S_MAX_CONT_B1,C_D131B  S_MAX_CONT_B1,"")</f>
        <v>#NAME?</v>
      </c>
      <c r="M207" s="686"/>
      <c r="N207" s="685" t="e" cm="1">
        <f t="array" ref="N207">IF(C_D131B  S_Take_Off_B1,C_D131B  S_Take_Off_B1,"")</f>
        <v>#NAME?</v>
      </c>
      <c r="O207" s="686"/>
      <c r="P207" s="685" t="e" cm="1">
        <f t="array" ref="P207">IF('RATINGS QUESTION'!$K$5="YES","N/A", IF(C_D131B S_MAX_CONT_B2,C_D131B S_MAX_CONT_B2,""))</f>
        <v>#NAME?</v>
      </c>
      <c r="Q207" s="687"/>
      <c r="R207" s="686"/>
      <c r="S207" s="685" t="e" cm="1">
        <f t="array" ref="S207">IF('RATINGS QUESTION'!$K$5="YES","N/A", IF(C_D131B S_Take_Off_B2,C_D131B S_Take_Off_B2,""))</f>
        <v>#NAME?</v>
      </c>
      <c r="T207" s="687"/>
      <c r="U207" s="151"/>
    </row>
    <row r="208" spans="1:21" ht="12.75" customHeight="1" x14ac:dyDescent="0.2">
      <c r="A208" s="145"/>
      <c r="B208" s="164" t="s">
        <v>387</v>
      </c>
      <c r="C208" s="164" t="s">
        <v>404</v>
      </c>
      <c r="D208" s="164" t="s">
        <v>477</v>
      </c>
      <c r="E208" s="165" t="s">
        <v>380</v>
      </c>
      <c r="F208" s="165"/>
      <c r="G208" s="145"/>
      <c r="H208" s="685" t="e" cm="1">
        <f t="array" ref="H208">IF(C_D264A S_Perf_GI,C_D264A S_Perf_GI,"")</f>
        <v>#NAME?</v>
      </c>
      <c r="I208" s="686"/>
      <c r="J208" s="685" t="e" cm="1">
        <f t="array" ref="J208">IF(C_D264A S_Perf_AI,C_D264A S_Perf_AI,"")</f>
        <v>#NAME?</v>
      </c>
      <c r="K208" s="686"/>
      <c r="L208" s="685" t="e" cm="1">
        <f t="array" ref="L208">IF(C_D264A  S_MAX_CONT_B1,C_D264A  S_MAX_CONT_B1,"")</f>
        <v>#NAME?</v>
      </c>
      <c r="M208" s="686"/>
      <c r="N208" s="685" t="e" cm="1">
        <f t="array" ref="N208">IF(C_D264A  S_Take_Off_B1,C_D264A  S_Take_Off_B1,"")</f>
        <v>#NAME?</v>
      </c>
      <c r="O208" s="686"/>
      <c r="P208" s="685" t="e" cm="1">
        <f t="array" ref="P208">IF('RATINGS QUESTION'!$K$5="YES","N/A", IF(C_D264A S_MAX_CONT_B2,C_D264A S_MAX_CONT_B2,""))</f>
        <v>#NAME?</v>
      </c>
      <c r="Q208" s="687"/>
      <c r="R208" s="686"/>
      <c r="S208" s="685" t="e" cm="1">
        <f t="array" ref="S208">IF('RATINGS QUESTION'!$K$5="YES","N/A", IF(C_D264A S_Take_Off_B2,C_D264A S_Take_Off_B2,""))</f>
        <v>#NAME?</v>
      </c>
      <c r="T208" s="687"/>
      <c r="U208" s="151"/>
    </row>
    <row r="209" spans="1:21" ht="12.75" customHeight="1" x14ac:dyDescent="0.2">
      <c r="A209" s="145"/>
      <c r="B209" s="164" t="s">
        <v>388</v>
      </c>
      <c r="C209" s="164" t="s">
        <v>405</v>
      </c>
      <c r="D209" s="164" t="s">
        <v>477</v>
      </c>
      <c r="E209" s="165" t="s">
        <v>380</v>
      </c>
      <c r="F209" s="165"/>
      <c r="G209" s="145"/>
      <c r="H209" s="685" t="e" cm="1">
        <f t="array" ref="H209">IF(C_D264B S_Perf_GI,C_D264B S_Perf_GI,"")</f>
        <v>#NAME?</v>
      </c>
      <c r="I209" s="686"/>
      <c r="J209" s="685" t="e" cm="1">
        <f t="array" ref="J209">IF(C_D264B S_Perf_AI,C_D264B S_Perf_AI,"")</f>
        <v>#NAME?</v>
      </c>
      <c r="K209" s="686"/>
      <c r="L209" s="685" t="e" cm="1">
        <f t="array" ref="L209">IF(C_D264B  S_MAX_CONT_B1,C_D264B  S_MAX_CONT_B1,"")</f>
        <v>#NAME?</v>
      </c>
      <c r="M209" s="686"/>
      <c r="N209" s="685" t="e" cm="1">
        <f t="array" ref="N209">IF(C_D264B  S_Take_Off_B1,C_D264B  S_Take_Off_B1,"")</f>
        <v>#NAME?</v>
      </c>
      <c r="O209" s="686"/>
      <c r="P209" s="685" t="e" cm="1">
        <f t="array" ref="P209">IF('RATINGS QUESTION'!$K$5="YES","N/A", IF(C_D264B S_MAX_CONT_B2,C_D264B S_MAX_CONT_B2,""))</f>
        <v>#NAME?</v>
      </c>
      <c r="Q209" s="687"/>
      <c r="R209" s="686"/>
      <c r="S209" s="685" t="e" cm="1">
        <f t="array" ref="S209">IF('RATINGS QUESTION'!$K$5="YES","N/A", IF(C_D264B S_Take_Off_B2,C_D264B S_Take_Off_B2,""))</f>
        <v>#NAME?</v>
      </c>
      <c r="T209" s="687"/>
      <c r="U209" s="151"/>
    </row>
    <row r="210" spans="1:21" ht="12.75" customHeight="1" x14ac:dyDescent="0.2">
      <c r="A210" s="145"/>
      <c r="B210" s="164" t="s">
        <v>387</v>
      </c>
      <c r="C210" s="164" t="s">
        <v>406</v>
      </c>
      <c r="D210" s="164" t="s">
        <v>478</v>
      </c>
      <c r="E210" s="237" t="s">
        <v>479</v>
      </c>
      <c r="F210" s="165"/>
      <c r="G210" s="145"/>
      <c r="H210" s="685" t="e" cm="1">
        <f t="array" ref="H210">IF(C_D072A S_Perf_GI,C_D072A S_Perf_GI,"")</f>
        <v>#NAME?</v>
      </c>
      <c r="I210" s="686"/>
      <c r="J210" s="685" t="e" cm="1">
        <f t="array" ref="J210">IF(C_D072A S_Perf_AI,C_D072A S_Perf_AI,"")</f>
        <v>#NAME?</v>
      </c>
      <c r="K210" s="686"/>
      <c r="L210" s="685" t="e" cm="1">
        <f t="array" ref="L210">IF(C_D072A  S_MAX_CONT_B1,C_D072A  S_MAX_CONT_B1,"")</f>
        <v>#NAME?</v>
      </c>
      <c r="M210" s="686"/>
      <c r="N210" s="685" t="e" cm="1">
        <f t="array" ref="N210">IF(C_D072A  S_Take_Off_B1,C_D072A  S_Take_Off_B1,"")</f>
        <v>#NAME?</v>
      </c>
      <c r="O210" s="686"/>
      <c r="P210" s="685" t="e" cm="1">
        <f t="array" ref="P210">IF('RATINGS QUESTION'!$K$5="YES","N/A", IF(C_D072A S_MAX_CONT_B2,C_D072A S_MAX_CONT_B2,""))</f>
        <v>#NAME?</v>
      </c>
      <c r="Q210" s="687"/>
      <c r="R210" s="686"/>
      <c r="S210" s="685" t="e" cm="1">
        <f t="array" ref="S210">IF('RATINGS QUESTION'!$K$5="YES","N/A", IF(C_D072A S_Take_Off_B2,C_D072A S_Take_Off_B2,""))</f>
        <v>#NAME?</v>
      </c>
      <c r="T210" s="687"/>
      <c r="U210" s="151"/>
    </row>
    <row r="211" spans="1:21" ht="12.75" customHeight="1" x14ac:dyDescent="0.2">
      <c r="A211" s="145"/>
      <c r="B211" s="164" t="s">
        <v>388</v>
      </c>
      <c r="C211" s="164" t="s">
        <v>407</v>
      </c>
      <c r="D211" s="164" t="s">
        <v>478</v>
      </c>
      <c r="E211" s="237" t="s">
        <v>479</v>
      </c>
      <c r="F211" s="165"/>
      <c r="G211" s="145"/>
      <c r="H211" s="685" t="e" cm="1">
        <f t="array" ref="H211">IF(C_D072B S_Perf_GI,C_D072B S_Perf_GI,"")</f>
        <v>#NAME?</v>
      </c>
      <c r="I211" s="686"/>
      <c r="J211" s="685" t="e" cm="1">
        <f t="array" ref="J211">IF(C_D072B S_Perf_AI,C_D072B S_Perf_AI,"")</f>
        <v>#NAME?</v>
      </c>
      <c r="K211" s="686"/>
      <c r="L211" s="685" t="e" cm="1">
        <f t="array" ref="L211">IF(C_D072B  S_MAX_CONT_B1,C_D072B  S_MAX_CONT_B1,"")</f>
        <v>#NAME?</v>
      </c>
      <c r="M211" s="686"/>
      <c r="N211" s="685" t="e" cm="1">
        <f t="array" ref="N211">IF(C_D072B  S_Take_Off_B1,C_D072B  S_Take_Off_B1,"")</f>
        <v>#NAME?</v>
      </c>
      <c r="O211" s="686"/>
      <c r="P211" s="685" t="e" cm="1">
        <f t="array" ref="P211">IF('RATINGS QUESTION'!$K$5="YES","N/A", IF(C_D072B S_MAX_CONT_B2,C_D072B S_MAX_CONT_B2,""))</f>
        <v>#NAME?</v>
      </c>
      <c r="Q211" s="687"/>
      <c r="R211" s="686"/>
      <c r="S211" s="685" t="e" cm="1">
        <f t="array" ref="S211">IF('RATINGS QUESTION'!$K$5="YES","N/A", IF(C_D072B S_Take_Off_B2,C_D072B S_Take_Off_B2,""))</f>
        <v>#NAME?</v>
      </c>
      <c r="T211" s="687"/>
      <c r="U211" s="151"/>
    </row>
    <row r="212" spans="1:21" ht="12.75" customHeight="1" x14ac:dyDescent="0.2">
      <c r="A212" s="145"/>
      <c r="B212" s="164" t="s">
        <v>387</v>
      </c>
      <c r="C212" s="164" t="s">
        <v>408</v>
      </c>
      <c r="D212" s="164" t="s">
        <v>409</v>
      </c>
      <c r="E212" s="238" t="s">
        <v>479</v>
      </c>
      <c r="F212" s="165"/>
      <c r="G212" s="145"/>
      <c r="H212" s="685" t="e" cm="1">
        <f t="array" ref="H212">IF(C_D061A S_Perf_GI,C_D061A S_Perf_GI,"")</f>
        <v>#NAME?</v>
      </c>
      <c r="I212" s="686"/>
      <c r="J212" s="685" t="e" cm="1">
        <f t="array" ref="J212">IF(C_D061A S_Perf_AI,C_D061A S_Perf_AI,"")</f>
        <v>#NAME?</v>
      </c>
      <c r="K212" s="686"/>
      <c r="L212" s="685" t="e" cm="1">
        <f t="array" ref="L212">IF(C_D061A  S_MAX_CONT_B1,C_D061A  S_MAX_CONT_B1,"")</f>
        <v>#NAME?</v>
      </c>
      <c r="M212" s="686"/>
      <c r="N212" s="685" t="e" cm="1">
        <f t="array" ref="N212">IF(C_D061A  S_Take_Off_B1,C_D061A  S_Take_Off_B1,"")</f>
        <v>#NAME?</v>
      </c>
      <c r="O212" s="686"/>
      <c r="P212" s="685" t="e" cm="1">
        <f t="array" ref="P212">IF('RATINGS QUESTION'!$K$5="YES","N/A", IF(C_D061A S_MAX_CONT_B2,C_D061A S_MAX_CONT_B2,""))</f>
        <v>#NAME?</v>
      </c>
      <c r="Q212" s="687"/>
      <c r="R212" s="686"/>
      <c r="S212" s="685" t="e" cm="1">
        <f t="array" ref="S212">IF('RATINGS QUESTION'!$K$5="YES","N/A", IF(C_D061A S_Take_Off_B2,C_D061A S_Take_Off_B2,""))</f>
        <v>#NAME?</v>
      </c>
      <c r="T212" s="687"/>
      <c r="U212" s="151"/>
    </row>
    <row r="213" spans="1:21" ht="12.75" customHeight="1" x14ac:dyDescent="0.2">
      <c r="A213" s="145"/>
      <c r="B213" s="164" t="s">
        <v>388</v>
      </c>
      <c r="C213" s="164" t="s">
        <v>408</v>
      </c>
      <c r="D213" s="164" t="s">
        <v>409</v>
      </c>
      <c r="E213" s="238" t="s">
        <v>479</v>
      </c>
      <c r="F213" s="165"/>
      <c r="G213" s="145"/>
      <c r="H213" s="685" t="e" cm="1">
        <f t="array" ref="H213">IF(C_D061B S_Perf_GI,C_D061B S_Perf_GI,"")</f>
        <v>#NAME?</v>
      </c>
      <c r="I213" s="686"/>
      <c r="J213" s="685" t="e" cm="1">
        <f t="array" ref="J213">IF(C_D061B S_Perf_AI,C_D061B S_Perf_AI,"")</f>
        <v>#NAME?</v>
      </c>
      <c r="K213" s="686"/>
      <c r="L213" s="685" t="e" cm="1">
        <f t="array" ref="L213">IF(C_D061B  S_MAX_CONT_B1,C_D061B  S_MAX_CONT_B1,"")</f>
        <v>#NAME?</v>
      </c>
      <c r="M213" s="686"/>
      <c r="N213" s="685" t="e" cm="1">
        <f t="array" ref="N213">IF(C_D061B  S_Take_Off_B1,C_D061B  S_Take_Off_B1,"")</f>
        <v>#NAME?</v>
      </c>
      <c r="O213" s="686"/>
      <c r="P213" s="685" t="e" cm="1">
        <f t="array" ref="P213">IF('RATINGS QUESTION'!$K$5="YES","N/A", IF(C_D061B S_MAX_CONT_B2,C_D061B S_MAX_CONT_B2,""))</f>
        <v>#NAME?</v>
      </c>
      <c r="Q213" s="687"/>
      <c r="R213" s="686"/>
      <c r="S213" s="685" t="e" cm="1">
        <f t="array" ref="S213">IF('RATINGS QUESTION'!$K$5="YES","N/A", IF(C_D061B S_Take_Off_B2,C_D061B S_Take_Off_B2,""))</f>
        <v>#NAME?</v>
      </c>
      <c r="T213" s="687"/>
      <c r="U213" s="151"/>
    </row>
    <row r="214" spans="1:21" ht="12.75" customHeight="1" x14ac:dyDescent="0.2">
      <c r="A214" s="145"/>
      <c r="B214" s="164" t="s">
        <v>387</v>
      </c>
      <c r="C214" s="164" t="s">
        <v>410</v>
      </c>
      <c r="D214" s="164" t="s">
        <v>480</v>
      </c>
      <c r="E214" s="237" t="s">
        <v>479</v>
      </c>
      <c r="F214" s="165"/>
      <c r="G214" s="145"/>
      <c r="H214" s="685" t="e" cm="1">
        <f t="array" ref="H214">IF(C_D071A S_Perf_GI,C_D071A S_Perf_GI,"")</f>
        <v>#NAME?</v>
      </c>
      <c r="I214" s="686"/>
      <c r="J214" s="685" t="e" cm="1">
        <f t="array" ref="J214">IF(C_D071A S_Perf_AI,C_D071A S_Perf_AI,"")</f>
        <v>#NAME?</v>
      </c>
      <c r="K214" s="686"/>
      <c r="L214" s="685" t="e" cm="1">
        <f t="array" ref="L214">IF(C_D071A  S_MAX_CONT_B1,C_D071A  S_MAX_CONT_B1,"")</f>
        <v>#NAME?</v>
      </c>
      <c r="M214" s="686"/>
      <c r="N214" s="685" t="e" cm="1">
        <f t="array" ref="N214">IF(C_D071A  S_Take_Off_B1,C_D071A  S_Take_Off_B1,"")</f>
        <v>#NAME?</v>
      </c>
      <c r="O214" s="686"/>
      <c r="P214" s="685" t="e" cm="1">
        <f t="array" ref="P214">IF('RATINGS QUESTION'!$K$5="YES","N/A", IF(C_D071A S_MAX_CONT_B2,C_D071A S_MAX_CONT_B2,""))</f>
        <v>#NAME?</v>
      </c>
      <c r="Q214" s="687"/>
      <c r="R214" s="686"/>
      <c r="S214" s="685" t="e" cm="1">
        <f t="array" ref="S214">IF('RATINGS QUESTION'!$K$5="YES","N/A", IF(C_D071A S_Take_Off_B2,C_D071A S_Take_Off_B2,""))</f>
        <v>#NAME?</v>
      </c>
      <c r="T214" s="687"/>
      <c r="U214" s="151"/>
    </row>
    <row r="215" spans="1:21" ht="12.75" customHeight="1" x14ac:dyDescent="0.2">
      <c r="A215" s="145"/>
      <c r="B215" s="164" t="s">
        <v>388</v>
      </c>
      <c r="C215" s="164" t="s">
        <v>411</v>
      </c>
      <c r="D215" s="164" t="s">
        <v>480</v>
      </c>
      <c r="E215" s="237" t="s">
        <v>479</v>
      </c>
      <c r="F215" s="165"/>
      <c r="G215" s="145"/>
      <c r="H215" s="685" t="e" cm="1">
        <f t="array" ref="H215">IF(C_D071B S_Perf_GI,C_D071B S_Perf_GI,"")</f>
        <v>#NAME?</v>
      </c>
      <c r="I215" s="686"/>
      <c r="J215" s="685" t="e" cm="1">
        <f t="array" ref="J215">IF(C_D071B S_Perf_AI,C_D071B S_Perf_AI,"")</f>
        <v>#NAME?</v>
      </c>
      <c r="K215" s="686"/>
      <c r="L215" s="685" t="e" cm="1">
        <f t="array" ref="L215">IF(C_D071B  S_MAX_CONT_B1,C_D071B  S_MAX_CONT_B1,"")</f>
        <v>#NAME?</v>
      </c>
      <c r="M215" s="686"/>
      <c r="N215" s="685" t="e" cm="1">
        <f t="array" ref="N215">IF(C_D071B  S_Take_Off_B1,C_D071B  S_Take_Off_B1,"")</f>
        <v>#NAME?</v>
      </c>
      <c r="O215" s="686"/>
      <c r="P215" s="685" t="e" cm="1">
        <f t="array" ref="P215">IF('RATINGS QUESTION'!$K$5="YES","N/A", IF(C_D071B S_MAX_CONT_B2,C_D071B S_MAX_CONT_B2,""))</f>
        <v>#NAME?</v>
      </c>
      <c r="Q215" s="687"/>
      <c r="R215" s="686"/>
      <c r="S215" s="685" t="e" cm="1">
        <f t="array" ref="S215">IF('RATINGS QUESTION'!$K$5="YES","N/A", IF(C_D071B S_Take_Off_B2,C_D071B S_Take_Off_B2,""))</f>
        <v>#NAME?</v>
      </c>
      <c r="T215" s="687"/>
      <c r="U215" s="151"/>
    </row>
    <row r="216" spans="1:21" ht="12.75" customHeight="1" x14ac:dyDescent="0.2">
      <c r="A216" s="145"/>
      <c r="B216" s="164" t="s">
        <v>387</v>
      </c>
      <c r="C216" s="164" t="s">
        <v>412</v>
      </c>
      <c r="D216" s="164" t="s">
        <v>413</v>
      </c>
      <c r="E216" s="237" t="s">
        <v>479</v>
      </c>
      <c r="F216" s="165"/>
      <c r="G216" s="145"/>
      <c r="H216" s="685" t="e" cm="1">
        <f t="array" ref="H216">IF(C_D062A S_Perf_GI,C_D062A S_Perf_GI,"")</f>
        <v>#NAME?</v>
      </c>
      <c r="I216" s="686"/>
      <c r="J216" s="685" t="e" cm="1">
        <f t="array" ref="J216">IF(C_D062A S_Perf_AI,C_D062A S_Perf_AI,"")</f>
        <v>#NAME?</v>
      </c>
      <c r="K216" s="686"/>
      <c r="L216" s="685" t="e" cm="1">
        <f t="array" ref="L216">IF(C_D062A  S_MAX_CONT_B1,C_D062A  S_MAX_CONT_B1,"")</f>
        <v>#NAME?</v>
      </c>
      <c r="M216" s="686"/>
      <c r="N216" s="685" t="e" cm="1">
        <f t="array" ref="N216">IF(C_D062A  S_Take_Off_B1,C_D062A  S_Take_Off_B1,"")</f>
        <v>#NAME?</v>
      </c>
      <c r="O216" s="686"/>
      <c r="P216" s="685" t="e" cm="1">
        <f t="array" ref="P216">IF('RATINGS QUESTION'!$K$5="YES","N/A", IF(C_D062A S_MAX_CONT_B2,C_D062A S_MAX_CONT_B2,""))</f>
        <v>#NAME?</v>
      </c>
      <c r="Q216" s="687"/>
      <c r="R216" s="686"/>
      <c r="S216" s="685" t="e" cm="1">
        <f t="array" ref="S216">IF('RATINGS QUESTION'!$K$5="YES","N/A", IF(C_D062A S_Take_Off_B2,C_D062A S_Take_Off_B2,""))</f>
        <v>#NAME?</v>
      </c>
      <c r="T216" s="687"/>
      <c r="U216" s="151"/>
    </row>
    <row r="217" spans="1:21" ht="12.75" customHeight="1" x14ac:dyDescent="0.2">
      <c r="A217" s="145"/>
      <c r="B217" s="164" t="s">
        <v>388</v>
      </c>
      <c r="C217" s="164" t="s">
        <v>414</v>
      </c>
      <c r="D217" s="164" t="s">
        <v>413</v>
      </c>
      <c r="E217" s="237" t="s">
        <v>479</v>
      </c>
      <c r="F217" s="165"/>
      <c r="G217" s="145"/>
      <c r="H217" s="685" t="e" cm="1">
        <f t="array" ref="H217">IF(C_D062B S_Perf_GI,C_D062B S_Perf_GI,"")</f>
        <v>#NAME?</v>
      </c>
      <c r="I217" s="686"/>
      <c r="J217" s="685" t="e" cm="1">
        <f t="array" ref="J217">IF(C_D062B S_Perf_AI,C_D062B S_Perf_AI,"")</f>
        <v>#NAME?</v>
      </c>
      <c r="K217" s="686"/>
      <c r="L217" s="685" t="e" cm="1">
        <f t="array" ref="L217">IF(C_D062B  S_MAX_CONT_B1,C_D062B  S_MAX_CONT_B1,"")</f>
        <v>#NAME?</v>
      </c>
      <c r="M217" s="686"/>
      <c r="N217" s="685" t="e" cm="1">
        <f t="array" ref="N217">IF(C_D062B  S_Take_Off_B1,C_D062B  S_Take_Off_B1,"")</f>
        <v>#NAME?</v>
      </c>
      <c r="O217" s="686"/>
      <c r="P217" s="685" t="e" cm="1">
        <f t="array" ref="P217">IF('RATINGS QUESTION'!$K$5="YES","N/A", IF(C_D062B S_MAX_CONT_B2,C_D062B S_MAX_CONT_B2,""))</f>
        <v>#NAME?</v>
      </c>
      <c r="Q217" s="687"/>
      <c r="R217" s="686"/>
      <c r="S217" s="685" t="e" cm="1">
        <f t="array" ref="S217">IF('RATINGS QUESTION'!$K$5="YES","N/A", IF(C_D062B S_Take_Off_B2,C_D062B S_Take_Off_B2,""))</f>
        <v>#NAME?</v>
      </c>
      <c r="T217" s="687"/>
      <c r="U217" s="151"/>
    </row>
    <row r="218" spans="1:21" x14ac:dyDescent="0.2">
      <c r="A218" s="145"/>
      <c r="B218" s="164" t="s">
        <v>387</v>
      </c>
      <c r="C218" s="164" t="s">
        <v>415</v>
      </c>
      <c r="D218" s="164" t="s">
        <v>482</v>
      </c>
      <c r="E218" s="165" t="s">
        <v>3</v>
      </c>
      <c r="F218" s="165"/>
      <c r="G218" s="145"/>
      <c r="H218" s="685" t="e" cm="1">
        <f t="array" ref="H218">IF(C_D306A S_Perf_GI,C_D306A S_Perf_GI,"")</f>
        <v>#NAME?</v>
      </c>
      <c r="I218" s="686"/>
      <c r="J218" s="685" t="e" cm="1">
        <f t="array" ref="J218">IF(C_D306A S_Perf_AI,C_D306A S_Perf_AI,"")</f>
        <v>#NAME?</v>
      </c>
      <c r="K218" s="686"/>
      <c r="L218" s="685" t="e" cm="1">
        <f t="array" ref="L218">IF(C_D306A  S_MAX_CONT_B1,C_D306A  S_MAX_CONT_B1,"")</f>
        <v>#NAME?</v>
      </c>
      <c r="M218" s="686"/>
      <c r="N218" s="685" t="e" cm="1">
        <f t="array" ref="N218">IF(C_D306A  S_Take_Off_B1,C_D306A  S_Take_Off_B1,"")</f>
        <v>#NAME?</v>
      </c>
      <c r="O218" s="686"/>
      <c r="P218" s="685" t="e" cm="1">
        <f t="array" ref="P218">IF('RATINGS QUESTION'!$K$5="YES","N/A", IF(C_D306A S_MAX_CONT_B2,C_D306A S_MAX_CONT_B2,""))</f>
        <v>#NAME?</v>
      </c>
      <c r="Q218" s="687"/>
      <c r="R218" s="686"/>
      <c r="S218" s="685" t="e" cm="1">
        <f t="array" ref="S218">IF('RATINGS QUESTION'!$K$5="YES","N/A", IF(C_D306A S_Take_Off_B2,C_D306A S_Take_Off_B2,""))</f>
        <v>#NAME?</v>
      </c>
      <c r="T218" s="687"/>
      <c r="U218" s="145"/>
    </row>
    <row r="219" spans="1:21" x14ac:dyDescent="0.2">
      <c r="A219" s="145"/>
      <c r="B219" s="164" t="s">
        <v>388</v>
      </c>
      <c r="C219" s="164" t="s">
        <v>416</v>
      </c>
      <c r="D219" s="164" t="s">
        <v>482</v>
      </c>
      <c r="E219" s="165" t="s">
        <v>3</v>
      </c>
      <c r="F219" s="165"/>
      <c r="G219" s="145"/>
      <c r="H219" s="685" t="e" cm="1">
        <f t="array" ref="H219">IF(C_D306B S_Perf_GI,C_D306B S_Perf_GI,"")</f>
        <v>#NAME?</v>
      </c>
      <c r="I219" s="686"/>
      <c r="J219" s="685" t="e" cm="1">
        <f t="array" ref="J219">IF(C_D306B S_Perf_AI,C_D306B S_Perf_AI,"")</f>
        <v>#NAME?</v>
      </c>
      <c r="K219" s="686"/>
      <c r="L219" s="685" t="e" cm="1">
        <f t="array" ref="L219">IF(C_D306B  S_MAX_CONT_B1,C_D306B  S_MAX_CONT_B1,"")</f>
        <v>#NAME?</v>
      </c>
      <c r="M219" s="686"/>
      <c r="N219" s="685" t="e" cm="1">
        <f t="array" ref="N219">IF(C_D306B  S_Take_Off_B1,C_D306B  S_Take_Off_B1,"")</f>
        <v>#NAME?</v>
      </c>
      <c r="O219" s="686"/>
      <c r="P219" s="685" t="e" cm="1">
        <f t="array" ref="P219">IF('RATINGS QUESTION'!$K$5="YES","N/A", IF(C_D306B S_MAX_CONT_B2,C_D306B S_MAX_CONT_B2,""))</f>
        <v>#NAME?</v>
      </c>
      <c r="Q219" s="687"/>
      <c r="R219" s="686"/>
      <c r="S219" s="685" t="e" cm="1">
        <f t="array" ref="S219">IF('RATINGS QUESTION'!$K$5="YES","N/A", IF(C_D306B S_Take_Off_B2,C_D306B S_Take_Off_B2,""))</f>
        <v>#NAME?</v>
      </c>
      <c r="T219" s="687"/>
      <c r="U219" s="145"/>
    </row>
    <row r="220" spans="1:21" x14ac:dyDescent="0.2">
      <c r="A220" s="145"/>
      <c r="B220" s="164" t="s">
        <v>387</v>
      </c>
      <c r="C220" s="164" t="s">
        <v>417</v>
      </c>
      <c r="D220" s="164" t="s">
        <v>481</v>
      </c>
      <c r="E220" s="165" t="s">
        <v>3</v>
      </c>
      <c r="F220" s="165"/>
      <c r="G220" s="145"/>
      <c r="H220" s="685" t="e" cm="1">
        <f t="array" ref="H220">IF(C_D063A S_Perf_GI,C_D063A S_Perf_GI,"")</f>
        <v>#NAME?</v>
      </c>
      <c r="I220" s="686"/>
      <c r="J220" s="685" t="e" cm="1">
        <f t="array" ref="J220">IF(C_D063A S_Perf_AI,C_D063A S_Perf_AI,"")</f>
        <v>#NAME?</v>
      </c>
      <c r="K220" s="686"/>
      <c r="L220" s="685" t="e" cm="1">
        <f t="array" ref="L220">IF(C_D063A  S_MAX_CONT_B1,C_D063A  S_MAX_CONT_B1,"")</f>
        <v>#NAME?</v>
      </c>
      <c r="M220" s="686"/>
      <c r="N220" s="685" t="e" cm="1">
        <f t="array" ref="N220">IF(C_D063A  S_Take_Off_B1,C_D063A  S_Take_Off_B1,"")</f>
        <v>#NAME?</v>
      </c>
      <c r="O220" s="686"/>
      <c r="P220" s="685" t="e" cm="1">
        <f t="array" ref="P220">IF('RATINGS QUESTION'!$K$5="YES","N/A", IF(C_D063A S_MAX_CONT_B2,C_D063A S_MAX_CONT_B2,""))</f>
        <v>#NAME?</v>
      </c>
      <c r="Q220" s="687"/>
      <c r="R220" s="686"/>
      <c r="S220" s="685" t="e" cm="1">
        <f t="array" ref="S220">IF('RATINGS QUESTION'!$K$5="YES","N/A", IF(C_D063A S_Take_Off_B2,C_D063A S_Take_Off_B2,""))</f>
        <v>#NAME?</v>
      </c>
      <c r="T220" s="687"/>
      <c r="U220" s="145"/>
    </row>
    <row r="221" spans="1:21" x14ac:dyDescent="0.2">
      <c r="A221" s="145"/>
      <c r="B221" s="164" t="s">
        <v>388</v>
      </c>
      <c r="C221" s="164" t="s">
        <v>419</v>
      </c>
      <c r="D221" s="164" t="s">
        <v>481</v>
      </c>
      <c r="E221" s="165" t="s">
        <v>3</v>
      </c>
      <c r="F221" s="165"/>
      <c r="G221" s="145"/>
      <c r="H221" s="685" t="e" cm="1">
        <f t="array" ref="H221">IF(C_D063B S_Perf_GI,C_D063B S_Perf_GI,"")</f>
        <v>#NAME?</v>
      </c>
      <c r="I221" s="686"/>
      <c r="J221" s="685" t="e" cm="1">
        <f t="array" ref="J221">IF(C_D063B S_Perf_AI,C_D063B S_Perf_AI,"")</f>
        <v>#NAME?</v>
      </c>
      <c r="K221" s="686"/>
      <c r="L221" s="685" t="e" cm="1">
        <f t="array" ref="L221">IF(C_D063B  S_MAX_CONT_B1,C_D063B  S_MAX_CONT_B1,"")</f>
        <v>#NAME?</v>
      </c>
      <c r="M221" s="686"/>
      <c r="N221" s="685" t="e" cm="1">
        <f t="array" ref="N221">IF(C_D063B  S_Take_Off_B1,C_D063B  S_Take_Off_B1,"")</f>
        <v>#NAME?</v>
      </c>
      <c r="O221" s="686"/>
      <c r="P221" s="685" t="e" cm="1">
        <f t="array" ref="P221">IF('RATINGS QUESTION'!$K$5="YES","N/A", IF(C_D063B S_MAX_CONT_B2,C_D063B S_MAX_CONT_B2,""))</f>
        <v>#NAME?</v>
      </c>
      <c r="Q221" s="687"/>
      <c r="R221" s="686"/>
      <c r="S221" s="685" t="e" cm="1">
        <f t="array" ref="S221">IF('RATINGS QUESTION'!$K$5="YES","N/A", IF(C_D063B S_Take_Off_B2,C_D063B S_Take_Off_B2,""))</f>
        <v>#NAME?</v>
      </c>
      <c r="T221" s="687"/>
      <c r="U221" s="145"/>
    </row>
    <row r="222" spans="1:21" x14ac:dyDescent="0.2">
      <c r="A222" s="145"/>
      <c r="B222" s="164" t="s">
        <v>387</v>
      </c>
      <c r="C222" s="164" t="s">
        <v>438</v>
      </c>
      <c r="D222" s="164" t="s">
        <v>483</v>
      </c>
      <c r="E222" s="165" t="s">
        <v>3</v>
      </c>
      <c r="F222" s="165"/>
      <c r="G222" s="145"/>
      <c r="H222" s="685" t="e" cm="1">
        <f t="array" ref="H222">IF(C_D307A S_Perf_GI,C_D307A S_Perf_GI,"")</f>
        <v>#NAME?</v>
      </c>
      <c r="I222" s="686"/>
      <c r="J222" s="685" t="e" cm="1">
        <f t="array" ref="J222">IF(C_D307A S_Perf_AI,C_D307A S_Perf_AI,"")</f>
        <v>#NAME?</v>
      </c>
      <c r="K222" s="686"/>
      <c r="L222" s="685" t="e" cm="1">
        <f t="array" ref="L222">IF(C_D307A  S_MAX_CONT_B1,C_D307A  S_MAX_CONT_B1,"")</f>
        <v>#NAME?</v>
      </c>
      <c r="M222" s="686"/>
      <c r="N222" s="685" t="e" cm="1">
        <f t="array" ref="N222">IF(C_D307A  S_Take_Off_B1,C_D307A  S_Take_Off_B1,"")</f>
        <v>#NAME?</v>
      </c>
      <c r="O222" s="686"/>
      <c r="P222" s="685" t="e" cm="1">
        <f t="array" ref="P222">IF('RATINGS QUESTION'!$K$5="YES","N/A", IF(C_D307A S_MAX_CONT_B2,C_D307A S_MAX_CONT_B2,""))</f>
        <v>#NAME?</v>
      </c>
      <c r="Q222" s="687"/>
      <c r="R222" s="686"/>
      <c r="S222" s="685" t="e" cm="1">
        <f t="array" ref="S222">IF('RATINGS QUESTION'!$K$5="YES","N/A", IF(C_D307A S_Take_Off_B2,C_D307A S_Take_Off_B2,""))</f>
        <v>#NAME?</v>
      </c>
      <c r="T222" s="687"/>
      <c r="U222" s="145"/>
    </row>
    <row r="223" spans="1:21" x14ac:dyDescent="0.2">
      <c r="A223" s="145"/>
      <c r="B223" s="164" t="s">
        <v>388</v>
      </c>
      <c r="C223" s="164" t="s">
        <v>439</v>
      </c>
      <c r="D223" s="164" t="s">
        <v>483</v>
      </c>
      <c r="E223" s="165" t="s">
        <v>3</v>
      </c>
      <c r="F223" s="165"/>
      <c r="G223" s="145"/>
      <c r="H223" s="685" t="e" cm="1">
        <f t="array" ref="H223">IF(C_D307B S_Perf_GI,C_D307B S_Perf_GI,"")</f>
        <v>#NAME?</v>
      </c>
      <c r="I223" s="686"/>
      <c r="J223" s="685" t="e" cm="1">
        <f t="array" ref="J223">IF(C_D307B S_Perf_AI,C_D307B S_Perf_AI,"")</f>
        <v>#NAME?</v>
      </c>
      <c r="K223" s="686"/>
      <c r="L223" s="685" t="e" cm="1">
        <f t="array" ref="L223">IF(C_D307B  S_MAX_CONT_B1,C_D307B  S_MAX_CONT_B1,"")</f>
        <v>#NAME?</v>
      </c>
      <c r="M223" s="686"/>
      <c r="N223" s="685" t="e" cm="1">
        <f t="array" ref="N223">IF(C_D307B  S_Take_Off_B1,C_D307B  S_Take_Off_B1,"")</f>
        <v>#NAME?</v>
      </c>
      <c r="O223" s="686"/>
      <c r="P223" s="685" t="e" cm="1">
        <f t="array" ref="P223">IF('RATINGS QUESTION'!$K$5="YES","N/A", IF(C_D307B S_MAX_CONT_B2,C_D307B S_MAX_CONT_B2,""))</f>
        <v>#NAME?</v>
      </c>
      <c r="Q223" s="687"/>
      <c r="R223" s="686"/>
      <c r="S223" s="685" t="e" cm="1">
        <f t="array" ref="S223">IF('RATINGS QUESTION'!$K$5="YES","N/A", IF(C_D307B S_Take_Off_B2,C_D307B S_Take_Off_B2,""))</f>
        <v>#NAME?</v>
      </c>
      <c r="T223" s="687"/>
      <c r="U223" s="145"/>
    </row>
    <row r="224" spans="1:21" x14ac:dyDescent="0.2">
      <c r="A224" s="145"/>
      <c r="B224" s="164" t="s">
        <v>387</v>
      </c>
      <c r="C224" s="164" t="s">
        <v>440</v>
      </c>
      <c r="D224" s="164" t="s">
        <v>484</v>
      </c>
      <c r="E224" s="165" t="s">
        <v>3</v>
      </c>
      <c r="F224" s="165"/>
      <c r="G224" s="145"/>
      <c r="H224" s="685" t="e" cm="1">
        <f t="array" ref="H224">IF(C_D064A S_Perf_GI,C_D064A S_Perf_GI,"")</f>
        <v>#NAME?</v>
      </c>
      <c r="I224" s="686"/>
      <c r="J224" s="685" t="e" cm="1">
        <f t="array" ref="J224">IF(C_D064A S_Perf_AI,C_D064A S_Perf_AI,"")</f>
        <v>#NAME?</v>
      </c>
      <c r="K224" s="686"/>
      <c r="L224" s="685" t="e" cm="1">
        <f t="array" ref="L224">IF(C_D064A  S_MAX_CONT_B1,C_D064A  S_MAX_CONT_B1,"")</f>
        <v>#NAME?</v>
      </c>
      <c r="M224" s="686"/>
      <c r="N224" s="685" t="e" cm="1">
        <f t="array" ref="N224">IF(C_D064A  S_Take_Off_B1,C_D064A  S_Take_Off_B1,"")</f>
        <v>#NAME?</v>
      </c>
      <c r="O224" s="686"/>
      <c r="P224" s="685" t="e" cm="1">
        <f t="array" ref="P224">IF('RATINGS QUESTION'!$K$5="YES","N/A", IF(C_D064A S_MAX_CONT_B2,C_D064A S_MAX_CONT_B2,""))</f>
        <v>#NAME?</v>
      </c>
      <c r="Q224" s="687"/>
      <c r="R224" s="686"/>
      <c r="S224" s="685" t="e" cm="1">
        <f t="array" ref="S224">IF('RATINGS QUESTION'!$K$5="YES","N/A", IF(C_D064A S_Take_Off_B2,C_D064A S_Take_Off_B2,""))</f>
        <v>#NAME?</v>
      </c>
      <c r="T224" s="687"/>
      <c r="U224" s="145"/>
    </row>
    <row r="225" spans="1:21" x14ac:dyDescent="0.2">
      <c r="A225" s="145"/>
      <c r="B225" s="164" t="s">
        <v>388</v>
      </c>
      <c r="C225" s="164" t="s">
        <v>441</v>
      </c>
      <c r="D225" s="164" t="s">
        <v>484</v>
      </c>
      <c r="E225" s="165" t="s">
        <v>3</v>
      </c>
      <c r="F225" s="165"/>
      <c r="G225" s="145"/>
      <c r="H225" s="685" t="e" cm="1">
        <f t="array" ref="H225">IF(C_D064B S_Perf_GI,C_D064B S_Perf_GI,"")</f>
        <v>#NAME?</v>
      </c>
      <c r="I225" s="686"/>
      <c r="J225" s="685" t="e" cm="1">
        <f t="array" ref="J225">IF(C_D064B S_Perf_AI,C_D064B S_Perf_AI,"")</f>
        <v>#NAME?</v>
      </c>
      <c r="K225" s="686"/>
      <c r="L225" s="685" t="e" cm="1">
        <f t="array" ref="L225">IF(C_D064B  S_MAX_CONT_B1,C_D064B  S_MAX_CONT_B1,"")</f>
        <v>#NAME?</v>
      </c>
      <c r="M225" s="686"/>
      <c r="N225" s="685" t="e" cm="1">
        <f t="array" ref="N225">IF(C_D064B  S_Take_Off_B1,C_D064B  S_Take_Off_B1,"")</f>
        <v>#NAME?</v>
      </c>
      <c r="O225" s="686"/>
      <c r="P225" s="685" t="e" cm="1">
        <f t="array" ref="P225">IF('RATINGS QUESTION'!$K$5="YES","N/A", IF(C_D064B S_MAX_CONT_B2,C_D064B S_MAX_CONT_B2,""))</f>
        <v>#NAME?</v>
      </c>
      <c r="Q225" s="687"/>
      <c r="R225" s="686"/>
      <c r="S225" s="685" t="e" cm="1">
        <f t="array" ref="S225">IF('RATINGS QUESTION'!$K$5="YES","N/A", IF(C_D064B S_Take_Off_B2,C_D064B S_Take_Off_B2,""))</f>
        <v>#NAME?</v>
      </c>
      <c r="T225" s="687"/>
      <c r="U225" s="145"/>
    </row>
    <row r="226" spans="1:21" x14ac:dyDescent="0.2">
      <c r="A226" s="145"/>
      <c r="B226" s="164" t="s">
        <v>387</v>
      </c>
      <c r="C226" s="164" t="s">
        <v>453</v>
      </c>
      <c r="D226" s="164" t="s">
        <v>485</v>
      </c>
      <c r="E226" s="225" t="s">
        <v>3</v>
      </c>
      <c r="F226" s="225"/>
      <c r="G226" s="145"/>
      <c r="H226" s="685" t="e" cm="1">
        <f t="array" ref="H226">IF(C_D055A S_Perf_GI,C_D055A S_Perf_GI,"")</f>
        <v>#NAME?</v>
      </c>
      <c r="I226" s="686"/>
      <c r="J226" s="685" t="e" cm="1">
        <f t="array" ref="J226">IF(C_D055A S_Perf_AI,C_D055A S_Perf_AI,"")</f>
        <v>#NAME?</v>
      </c>
      <c r="K226" s="686"/>
      <c r="L226" s="685" t="e" cm="1">
        <f t="array" ref="L226">IF(C_D055A  S_MAX_CONT_B1,C_D055A  S_MAX_CONT_B1,"")</f>
        <v>#NAME?</v>
      </c>
      <c r="M226" s="686"/>
      <c r="N226" s="685" t="e" cm="1">
        <f t="array" ref="N226">IF(C_D055A  S_Take_Off_B1,C_D055A  S_Take_Off_B1,"")</f>
        <v>#NAME?</v>
      </c>
      <c r="O226" s="686"/>
      <c r="P226" s="685" t="e" cm="1">
        <f t="array" ref="P226">IF('RATINGS QUESTION'!$K$5="YES","N/A", IF(C_D055A S_MAX_CONT_B2,C_D055A S_MAX_CONT_B2,""))</f>
        <v>#NAME?</v>
      </c>
      <c r="Q226" s="687"/>
      <c r="R226" s="686"/>
      <c r="S226" s="685" t="e" cm="1">
        <f t="array" ref="S226">IF('RATINGS QUESTION'!$K$5="YES","N/A", IF(C_D055A S_Take_Off_B2,C_D055A S_Take_Off_B2,""))</f>
        <v>#NAME?</v>
      </c>
      <c r="T226" s="687"/>
      <c r="U226" s="145"/>
    </row>
    <row r="227" spans="1:21" x14ac:dyDescent="0.2">
      <c r="A227" s="145"/>
      <c r="B227" s="164" t="s">
        <v>388</v>
      </c>
      <c r="C227" s="164" t="s">
        <v>453</v>
      </c>
      <c r="D227" s="164" t="s">
        <v>485</v>
      </c>
      <c r="E227" s="225" t="s">
        <v>3</v>
      </c>
      <c r="F227" s="225"/>
      <c r="G227" s="145"/>
      <c r="H227" s="685" t="e" cm="1">
        <f t="array" ref="H227">IF(C_D055B S_Perf_GI,C_D055B S_Perf_GI,"")</f>
        <v>#NAME?</v>
      </c>
      <c r="I227" s="686"/>
      <c r="J227" s="685" t="e" cm="1">
        <f t="array" ref="J227">IF(C_D055B S_Perf_AI,C_D055B S_Perf_AI,"")</f>
        <v>#NAME?</v>
      </c>
      <c r="K227" s="686"/>
      <c r="L227" s="685" t="e" cm="1">
        <f t="array" ref="L227">IF(C_D055B  S_MAX_CONT_B1,C_D055B  S_MAX_CONT_B1,"")</f>
        <v>#NAME?</v>
      </c>
      <c r="M227" s="686"/>
      <c r="N227" s="685" t="e" cm="1">
        <f t="array" ref="N227">IF(C_D055B  S_Take_Off_B1,C_D055B  S_Take_Off_B1,"")</f>
        <v>#NAME?</v>
      </c>
      <c r="O227" s="686"/>
      <c r="P227" s="685" t="e" cm="1">
        <f t="array" ref="P227">IF('RATINGS QUESTION'!$K$5="YES","N/A", IF(C_D055B S_MAX_CONT_B2,C_D055B S_MAX_CONT_B2,""))</f>
        <v>#NAME?</v>
      </c>
      <c r="Q227" s="687"/>
      <c r="R227" s="686"/>
      <c r="S227" s="685" t="e" cm="1">
        <f t="array" ref="S227">IF('RATINGS QUESTION'!$K$5="YES","N/A", IF(C_D055B S_Take_Off_B2,C_D055B S_Take_Off_B2,""))</f>
        <v>#NAME?</v>
      </c>
      <c r="T227" s="687"/>
      <c r="U227" s="145"/>
    </row>
    <row r="228" spans="1:21" ht="12.75" customHeight="1" x14ac:dyDescent="0.2">
      <c r="A228" s="145"/>
      <c r="B228" s="164"/>
      <c r="C228" s="164"/>
      <c r="D228" s="164"/>
      <c r="E228" s="225"/>
      <c r="F228" s="225"/>
      <c r="G228" s="145"/>
      <c r="H228" s="239"/>
      <c r="I228" s="227"/>
      <c r="J228" s="228"/>
      <c r="K228" s="227"/>
      <c r="L228" s="228"/>
      <c r="M228" s="227"/>
      <c r="N228" s="228"/>
      <c r="O228" s="227"/>
      <c r="P228" s="209"/>
      <c r="Q228" s="61"/>
      <c r="R228" s="210"/>
      <c r="S228" s="226"/>
      <c r="T228" s="228"/>
      <c r="U228" s="151"/>
    </row>
    <row r="229" spans="1:21" ht="12.75" customHeight="1" x14ac:dyDescent="0.2">
      <c r="A229" s="145"/>
      <c r="B229" s="164"/>
      <c r="C229" s="164"/>
      <c r="D229" s="164"/>
      <c r="E229" s="292"/>
      <c r="F229" s="292"/>
      <c r="G229" s="145"/>
      <c r="H229" s="255"/>
      <c r="I229" s="256"/>
      <c r="J229" s="257"/>
      <c r="K229" s="256"/>
      <c r="L229" s="257"/>
      <c r="M229" s="256"/>
      <c r="N229" s="257"/>
      <c r="O229" s="256"/>
      <c r="P229" s="297"/>
      <c r="Q229" s="298"/>
      <c r="R229" s="299"/>
      <c r="S229" s="255"/>
      <c r="T229" s="257"/>
      <c r="U229" s="151"/>
    </row>
    <row r="230" spans="1:21" ht="12.75" customHeight="1" x14ac:dyDescent="0.2">
      <c r="A230" s="145"/>
      <c r="B230" s="164"/>
      <c r="C230" s="164"/>
      <c r="D230" s="164"/>
      <c r="E230" s="308"/>
      <c r="F230" s="308"/>
      <c r="G230" s="145"/>
      <c r="H230" s="255"/>
      <c r="I230" s="256"/>
      <c r="J230" s="257"/>
      <c r="K230" s="256"/>
      <c r="L230" s="257"/>
      <c r="M230" s="256"/>
      <c r="N230" s="257"/>
      <c r="O230" s="256"/>
      <c r="P230" s="312"/>
      <c r="Q230" s="313"/>
      <c r="R230" s="314"/>
      <c r="S230" s="255"/>
      <c r="T230" s="257"/>
      <c r="U230" s="151"/>
    </row>
    <row r="231" spans="1:21" ht="12.75" customHeight="1" x14ac:dyDescent="0.2">
      <c r="A231" s="145"/>
      <c r="B231" s="164"/>
      <c r="C231" s="164"/>
      <c r="D231" s="164"/>
      <c r="E231" s="225"/>
      <c r="F231" s="225"/>
      <c r="G231" s="145"/>
      <c r="H231" s="239"/>
      <c r="I231" s="227"/>
      <c r="J231" s="228"/>
      <c r="K231" s="227"/>
      <c r="L231" s="228"/>
      <c r="M231" s="227"/>
      <c r="N231" s="228"/>
      <c r="O231" s="227"/>
      <c r="P231" s="209"/>
      <c r="Q231" s="61"/>
      <c r="R231" s="210"/>
      <c r="S231" s="226"/>
      <c r="T231" s="228"/>
      <c r="U231" s="151"/>
    </row>
    <row r="232" spans="1:21" ht="12.75" customHeight="1" x14ac:dyDescent="0.25">
      <c r="A232" s="145"/>
      <c r="B232" s="164"/>
      <c r="C232" s="164"/>
      <c r="D232" s="164"/>
      <c r="E232" s="165"/>
      <c r="F232" s="165"/>
      <c r="G232" s="145"/>
      <c r="H232" s="212"/>
      <c r="I232" s="213"/>
      <c r="J232" s="212"/>
      <c r="K232" s="214"/>
      <c r="L232" s="215"/>
      <c r="M232" s="216"/>
      <c r="N232" s="215"/>
      <c r="O232" s="216"/>
      <c r="P232" s="215"/>
      <c r="Q232" s="157"/>
      <c r="R232" s="216"/>
      <c r="S232" s="215"/>
      <c r="T232" s="157"/>
      <c r="U232" s="151"/>
    </row>
    <row r="233" spans="1:21" ht="12.75" customHeight="1" x14ac:dyDescent="0.2">
      <c r="A233" s="145"/>
      <c r="B233" s="145"/>
      <c r="C233" s="164"/>
      <c r="D233" s="164"/>
      <c r="E233" s="165"/>
      <c r="F233" s="165"/>
      <c r="G233" s="145"/>
      <c r="H233" s="211"/>
      <c r="I233" s="211"/>
      <c r="J233" s="211"/>
      <c r="K233" s="211"/>
      <c r="L233" s="151"/>
      <c r="M233" s="151"/>
      <c r="N233" s="151"/>
      <c r="O233" s="151"/>
      <c r="P233" s="151"/>
      <c r="Q233" s="151"/>
      <c r="R233" s="151"/>
      <c r="S233" s="151"/>
      <c r="T233" s="673" t="s">
        <v>458</v>
      </c>
      <c r="U233" s="673"/>
    </row>
    <row r="234" spans="1:21" x14ac:dyDescent="0.2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</row>
    <row r="235" spans="1:21" ht="16.5" customHeight="1" x14ac:dyDescent="0.25">
      <c r="A235" s="145"/>
      <c r="B235" s="145"/>
      <c r="C235" s="156"/>
      <c r="D235" s="156"/>
      <c r="E235" s="156"/>
      <c r="F235" s="156"/>
      <c r="G235" s="157"/>
      <c r="H235" s="698" t="s">
        <v>572</v>
      </c>
      <c r="I235" s="699"/>
      <c r="J235" s="700" t="s">
        <v>573</v>
      </c>
      <c r="K235" s="699"/>
      <c r="L235" s="700" t="s">
        <v>571</v>
      </c>
      <c r="M235" s="699"/>
      <c r="N235" s="700" t="s">
        <v>487</v>
      </c>
      <c r="O235" s="699"/>
      <c r="P235" s="700" t="s">
        <v>571</v>
      </c>
      <c r="Q235" s="698"/>
      <c r="R235" s="699"/>
      <c r="S235" s="700" t="s">
        <v>487</v>
      </c>
      <c r="T235" s="698"/>
      <c r="U235" s="158"/>
    </row>
    <row r="236" spans="1:21" s="42" customFormat="1" ht="12.75" customHeight="1" x14ac:dyDescent="0.25">
      <c r="A236" s="145"/>
      <c r="B236" s="300"/>
      <c r="C236" s="300"/>
      <c r="D236" s="300"/>
      <c r="E236" s="300"/>
      <c r="F236" s="300"/>
      <c r="G236" s="300"/>
      <c r="H236" s="674"/>
      <c r="I236" s="690"/>
      <c r="J236" s="689"/>
      <c r="K236" s="690"/>
      <c r="L236" s="689" t="e" cm="1">
        <f t="array" ref="L236" xml:space="preserve"> VLOOKUP(C_Engine_Rating S_MAX_CONT_B1, enum_list!$A$2:$F$102,3,1)</f>
        <v>#NAME?</v>
      </c>
      <c r="M236" s="690"/>
      <c r="N236" s="689" t="e" cm="1">
        <f t="array" ref="N236" xml:space="preserve"> VLOOKUP(C_Engine_Rating S_Take_Off_B1, enum_list!$A$2:$F$102,3,1)</f>
        <v>#NAME?</v>
      </c>
      <c r="O236" s="690"/>
      <c r="P236" s="701" t="e" cm="1">
        <f t="array" ref="P236">IF('RATINGS QUESTION'!$K$5="YES","N/A",VLOOKUP(C_Engine_Rating S_MAX_CONT_B2, enum_list!$A$2:$F$102,3,1))</f>
        <v>#NAME?</v>
      </c>
      <c r="Q236" s="702"/>
      <c r="R236" s="703"/>
      <c r="S236" s="689" t="e" cm="1">
        <f t="array" ref="S236">IF('RATINGS QUESTION'!$K$5="YES","N/A",VLOOKUP(C_Engine_Rating S_Take_Off_B2, enum_list!$A$2:$F$102,3,1))</f>
        <v>#NAME?</v>
      </c>
      <c r="T236" s="674"/>
      <c r="U236" s="294"/>
    </row>
    <row r="237" spans="1:21" s="42" customFormat="1" ht="12.75" customHeight="1" thickBot="1" x14ac:dyDescent="0.3">
      <c r="A237" s="145"/>
      <c r="B237" s="301"/>
      <c r="C237" s="301"/>
      <c r="D237" s="301"/>
      <c r="E237" s="301"/>
      <c r="F237" s="301"/>
      <c r="G237" s="301"/>
      <c r="H237" s="294"/>
      <c r="I237" s="296"/>
      <c r="J237" s="295"/>
      <c r="K237" s="296"/>
      <c r="L237" s="295"/>
      <c r="M237" s="296"/>
      <c r="N237" s="295"/>
      <c r="O237" s="296"/>
      <c r="P237" s="295"/>
      <c r="Q237" s="294"/>
      <c r="R237" s="296"/>
      <c r="S237" s="295"/>
      <c r="T237" s="294"/>
      <c r="U237" s="294"/>
    </row>
    <row r="238" spans="1:21" ht="16.5" customHeight="1" thickBot="1" x14ac:dyDescent="0.25">
      <c r="A238" s="145"/>
      <c r="B238" s="691" t="s">
        <v>385</v>
      </c>
      <c r="C238" s="692"/>
      <c r="D238" s="730" t="s">
        <v>386</v>
      </c>
      <c r="E238" s="730"/>
      <c r="F238" s="730"/>
      <c r="G238" s="731"/>
      <c r="H238" s="159"/>
      <c r="I238" s="161"/>
      <c r="J238" s="145"/>
      <c r="K238" s="161"/>
      <c r="L238" s="160"/>
      <c r="M238" s="161"/>
      <c r="N238" s="160"/>
      <c r="O238" s="161"/>
      <c r="P238" s="160"/>
      <c r="Q238" s="145"/>
      <c r="R238" s="161"/>
      <c r="S238" s="160"/>
      <c r="T238" s="145"/>
      <c r="U238" s="145"/>
    </row>
    <row r="239" spans="1:21" ht="12.75" customHeight="1" x14ac:dyDescent="0.2">
      <c r="A239" s="145"/>
      <c r="B239" s="145"/>
      <c r="C239" s="732"/>
      <c r="D239" s="732"/>
      <c r="E239" s="732"/>
      <c r="F239" s="732"/>
      <c r="G239" s="733"/>
      <c r="H239" s="224"/>
      <c r="I239" s="219"/>
      <c r="J239" s="218"/>
      <c r="K239" s="219"/>
      <c r="L239" s="217"/>
      <c r="M239" s="219"/>
      <c r="N239" s="217"/>
      <c r="O239" s="219"/>
      <c r="P239" s="217"/>
      <c r="Q239" s="218"/>
      <c r="R239" s="219"/>
      <c r="S239" s="217"/>
      <c r="T239" s="218"/>
      <c r="U239" s="145"/>
    </row>
    <row r="240" spans="1:21" x14ac:dyDescent="0.2">
      <c r="A240" s="145"/>
      <c r="B240" s="164" t="s">
        <v>387</v>
      </c>
      <c r="C240" s="164" t="s">
        <v>420</v>
      </c>
      <c r="D240" s="164" t="s">
        <v>465</v>
      </c>
      <c r="E240" s="165" t="s">
        <v>3</v>
      </c>
      <c r="F240" s="165"/>
      <c r="G240" s="145"/>
      <c r="H240" s="685" t="e" cm="1">
        <f t="array" ref="H240">IF(C_D347A S_Perf_GI,C_D347A S_Perf_GI,"")</f>
        <v>#NAME?</v>
      </c>
      <c r="I240" s="686"/>
      <c r="J240" s="685" t="e" cm="1">
        <f t="array" ref="J240">IF(C_D347A S_Perf_AI,C_D347A S_Perf_AI,"")</f>
        <v>#NAME?</v>
      </c>
      <c r="K240" s="686"/>
      <c r="L240" s="685" t="e" cm="1">
        <f t="array" ref="L240">IF(C_D347A  S_MAX_CONT_B1,C_D347A  S_MAX_CONT_B1,"")</f>
        <v>#NAME?</v>
      </c>
      <c r="M240" s="686"/>
      <c r="N240" s="685" t="e" cm="1">
        <f t="array" ref="N240">IF(C_D347A  S_Take_Off_B1,C_D347A  S_Take_Off_B1,"")</f>
        <v>#NAME?</v>
      </c>
      <c r="O240" s="686"/>
      <c r="P240" s="685" t="e" cm="1">
        <f t="array" ref="P240">IF('RATINGS QUESTION'!$K$5="YES","N/A", IF(C_D347A S_MAX_CONT_B2,C_D347A S_MAX_CONT_B2,""))</f>
        <v>#NAME?</v>
      </c>
      <c r="Q240" s="687"/>
      <c r="R240" s="686"/>
      <c r="S240" s="685" t="e" cm="1">
        <f t="array" ref="S240">IF('RATINGS QUESTION'!$K$5="YES","N/A", IF(C_D347A S_Take_Off_B2,C_D347A S_Take_Off_B2,""))</f>
        <v>#NAME?</v>
      </c>
      <c r="T240" s="687"/>
      <c r="U240" s="145"/>
    </row>
    <row r="241" spans="1:21" x14ac:dyDescent="0.2">
      <c r="A241" s="145"/>
      <c r="B241" s="164" t="s">
        <v>388</v>
      </c>
      <c r="C241" s="164" t="s">
        <v>421</v>
      </c>
      <c r="D241" s="164" t="s">
        <v>465</v>
      </c>
      <c r="E241" s="165" t="s">
        <v>3</v>
      </c>
      <c r="F241" s="165"/>
      <c r="G241" s="145"/>
      <c r="H241" s="685" t="e" cm="1">
        <f t="array" ref="H241">IF(C_D347B S_Perf_GI,C_D347B S_Perf_GI,"")</f>
        <v>#NAME?</v>
      </c>
      <c r="I241" s="686"/>
      <c r="J241" s="685" t="e" cm="1">
        <f t="array" ref="J241">IF(C_D347B S_Perf_AI,C_D347B S_Perf_AI,"")</f>
        <v>#NAME?</v>
      </c>
      <c r="K241" s="686"/>
      <c r="L241" s="685" t="e" cm="1">
        <f t="array" ref="L241">IF(C_D347B  S_MAX_CONT_B1,C_D347B  S_MAX_CONT_B1,"")</f>
        <v>#NAME?</v>
      </c>
      <c r="M241" s="686"/>
      <c r="N241" s="685" t="e" cm="1">
        <f t="array" ref="N241">IF(C_D347B  S_Take_Off_B1,C_D347B  S_Take_Off_B1,"")</f>
        <v>#NAME?</v>
      </c>
      <c r="O241" s="686"/>
      <c r="P241" s="685" t="e" cm="1">
        <f t="array" ref="P241">IF('RATINGS QUESTION'!$K$5="YES","N/A", IF(C_D347B S_MAX_CONT_B2,C_D347B S_MAX_CONT_B2,""))</f>
        <v>#NAME?</v>
      </c>
      <c r="Q241" s="687"/>
      <c r="R241" s="686"/>
      <c r="S241" s="685" t="e" cm="1">
        <f t="array" ref="S241">IF('RATINGS QUESTION'!$K$5="YES","N/A", IF(C_D347B S_Take_Off_B2,C_D347B S_Take_Off_B2,""))</f>
        <v>#NAME?</v>
      </c>
      <c r="T241" s="687"/>
      <c r="U241" s="145"/>
    </row>
    <row r="242" spans="1:21" x14ac:dyDescent="0.2">
      <c r="A242" s="145"/>
      <c r="B242" s="164" t="s">
        <v>387</v>
      </c>
      <c r="C242" s="164" t="s">
        <v>422</v>
      </c>
      <c r="D242" s="164" t="s">
        <v>464</v>
      </c>
      <c r="E242" s="165" t="s">
        <v>3</v>
      </c>
      <c r="F242" s="165"/>
      <c r="G242" s="145"/>
      <c r="H242" s="685" t="e" cm="1">
        <f t="array" ref="H242">IF(C_D060A S_Perf_GI,C_D060A S_Perf_GI,"")</f>
        <v>#NAME?</v>
      </c>
      <c r="I242" s="686"/>
      <c r="J242" s="685" t="e" cm="1">
        <f t="array" ref="J242">IF(C_D060A S_Perf_AI,C_D060A S_Perf_AI,"")</f>
        <v>#NAME?</v>
      </c>
      <c r="K242" s="686"/>
      <c r="L242" s="685" t="e" cm="1">
        <f t="array" ref="L242">IF(C_D060A  S_MAX_CONT_B1,C_D060A  S_MAX_CONT_B1,"")</f>
        <v>#NAME?</v>
      </c>
      <c r="M242" s="686"/>
      <c r="N242" s="685" t="e" cm="1">
        <f t="array" ref="N242">IF(C_D060A  S_Take_Off_B1,C_D060A  S_Take_Off_B1,"")</f>
        <v>#NAME?</v>
      </c>
      <c r="O242" s="686"/>
      <c r="P242" s="685" t="e" cm="1">
        <f t="array" ref="P242">IF('RATINGS QUESTION'!$K$5="YES","N/A", IF(C_D060A S_MAX_CONT_B2,C_D060A S_MAX_CONT_B2,""))</f>
        <v>#NAME?</v>
      </c>
      <c r="Q242" s="687"/>
      <c r="R242" s="686"/>
      <c r="S242" s="685" t="e" cm="1">
        <f t="array" ref="S242">IF('RATINGS QUESTION'!$K$5="YES","N/A", IF(C_D060A S_Take_Off_B2,C_D060A S_Take_Off_B2,""))</f>
        <v>#NAME?</v>
      </c>
      <c r="T242" s="687"/>
      <c r="U242" s="145"/>
    </row>
    <row r="243" spans="1:21" x14ac:dyDescent="0.2">
      <c r="A243" s="145"/>
      <c r="B243" s="164" t="s">
        <v>388</v>
      </c>
      <c r="C243" s="164" t="s">
        <v>423</v>
      </c>
      <c r="D243" s="164" t="s">
        <v>464</v>
      </c>
      <c r="E243" s="165" t="s">
        <v>3</v>
      </c>
      <c r="F243" s="165"/>
      <c r="G243" s="145"/>
      <c r="H243" s="685" t="e" cm="1">
        <f t="array" ref="H243">IF(C_D060B S_Perf_GI,C_D060B S_Perf_GI,"")</f>
        <v>#NAME?</v>
      </c>
      <c r="I243" s="686"/>
      <c r="J243" s="685" t="e" cm="1">
        <f t="array" ref="J243">IF(C_D060B S_Perf_AI,C_D060B S_Perf_AI,"")</f>
        <v>#NAME?</v>
      </c>
      <c r="K243" s="686"/>
      <c r="L243" s="685" t="e" cm="1">
        <f t="array" ref="L243">IF(C_D060B  S_MAX_CONT_B1,C_D060B  S_MAX_CONT_B1,"")</f>
        <v>#NAME?</v>
      </c>
      <c r="M243" s="686"/>
      <c r="N243" s="685" t="e" cm="1">
        <f t="array" ref="N243">IF(C_D060B  S_Take_Off_B1,C_D060B  S_Take_Off_B1,"")</f>
        <v>#NAME?</v>
      </c>
      <c r="O243" s="686"/>
      <c r="P243" s="685" t="e" cm="1">
        <f t="array" ref="P243">IF('RATINGS QUESTION'!$K$5="YES","N/A", IF(C_D060B S_MAX_CONT_B2,C_D060B S_MAX_CONT_B2,""))</f>
        <v>#NAME?</v>
      </c>
      <c r="Q243" s="687"/>
      <c r="R243" s="686"/>
      <c r="S243" s="685" t="e" cm="1">
        <f t="array" ref="S243">IF('RATINGS QUESTION'!$K$5="YES","N/A", IF(C_D060B S_Take_Off_B2,C_D060B S_Take_Off_B2,""))</f>
        <v>#NAME?</v>
      </c>
      <c r="T243" s="687"/>
      <c r="U243" s="145"/>
    </row>
    <row r="244" spans="1:21" x14ac:dyDescent="0.2">
      <c r="A244" s="145"/>
      <c r="B244" s="164" t="s">
        <v>387</v>
      </c>
      <c r="C244" s="164" t="s">
        <v>442</v>
      </c>
      <c r="D244" s="164" t="s">
        <v>424</v>
      </c>
      <c r="E244" s="165" t="s">
        <v>358</v>
      </c>
      <c r="F244" s="165"/>
      <c r="G244" s="145"/>
      <c r="H244" s="685" t="e" cm="1">
        <f t="array" ref="H244">IF(C_D244A S_Perf_GI,C_D244A S_Perf_GI,"")</f>
        <v>#NAME?</v>
      </c>
      <c r="I244" s="686"/>
      <c r="J244" s="685" t="e" cm="1">
        <f t="array" ref="J244">IF(C_D244A S_Perf_AI,C_D244A S_Perf_AI,"")</f>
        <v>#NAME?</v>
      </c>
      <c r="K244" s="686"/>
      <c r="L244" s="685" t="e" cm="1">
        <f t="array" ref="L244">IF(C_D244A  S_MAX_CONT_B1,C_D244A  S_MAX_CONT_B1,"")</f>
        <v>#NAME?</v>
      </c>
      <c r="M244" s="686"/>
      <c r="N244" s="685" t="e" cm="1">
        <f t="array" ref="N244">IF(C_D244A  S_Take_Off_B1,C_D244A  S_Take_Off_B1,"")</f>
        <v>#NAME?</v>
      </c>
      <c r="O244" s="686"/>
      <c r="P244" s="685" t="e" cm="1">
        <f t="array" ref="P244">IF('RATINGS QUESTION'!$K$5="YES","N/A", IF(C_D244A S_MAX_CONT_B2,C_D244A S_MAX_CONT_B2,""))</f>
        <v>#NAME?</v>
      </c>
      <c r="Q244" s="687"/>
      <c r="R244" s="686"/>
      <c r="S244" s="685" t="e" cm="1">
        <f t="array" ref="S244">IF('RATINGS QUESTION'!$K$5="YES","N/A", IF(C_D244A S_Take_Off_B2,C_D244A S_Take_Off_B2,""))</f>
        <v>#NAME?</v>
      </c>
      <c r="T244" s="687"/>
      <c r="U244" s="145"/>
    </row>
    <row r="245" spans="1:21" x14ac:dyDescent="0.2">
      <c r="A245" s="145"/>
      <c r="B245" s="164" t="s">
        <v>388</v>
      </c>
      <c r="C245" s="164" t="s">
        <v>442</v>
      </c>
      <c r="D245" s="164" t="s">
        <v>424</v>
      </c>
      <c r="E245" s="165" t="s">
        <v>358</v>
      </c>
      <c r="F245" s="165"/>
      <c r="G245" s="145"/>
      <c r="H245" s="685" t="e" cm="1">
        <f t="array" ref="H245">IF(C_D244B S_Perf_GI,C_D244B S_Perf_GI,"")</f>
        <v>#NAME?</v>
      </c>
      <c r="I245" s="686"/>
      <c r="J245" s="685" t="e" cm="1">
        <f t="array" ref="J245">IF(C_D244B S_Perf_AI,C_D244B S_Perf_AI,"")</f>
        <v>#NAME?</v>
      </c>
      <c r="K245" s="686"/>
      <c r="L245" s="685" t="e" cm="1">
        <f t="array" ref="L245">IF(C_D244B  S_MAX_CONT_B1,C_D244B  S_MAX_CONT_B1,"")</f>
        <v>#NAME?</v>
      </c>
      <c r="M245" s="686"/>
      <c r="N245" s="685" t="e" cm="1">
        <f t="array" ref="N245">IF(C_D244B  S_Take_Off_B1,C_D244B  S_Take_Off_B1,"")</f>
        <v>#NAME?</v>
      </c>
      <c r="O245" s="686"/>
      <c r="P245" s="685" t="e" cm="1">
        <f t="array" ref="P245">IF('RATINGS QUESTION'!$K$5="YES","N/A", IF(C_D244B S_MAX_CONT_B2,C_D244B S_MAX_CONT_B2,""))</f>
        <v>#NAME?</v>
      </c>
      <c r="Q245" s="687"/>
      <c r="R245" s="686"/>
      <c r="S245" s="685" t="e" cm="1">
        <f t="array" ref="S245">IF('RATINGS QUESTION'!$K$5="YES","N/A", IF(C_D244B S_Take_Off_B2,C_D244B S_Take_Off_B2,""))</f>
        <v>#NAME?</v>
      </c>
      <c r="T245" s="687"/>
      <c r="U245" s="145"/>
    </row>
    <row r="246" spans="1:21" ht="14.25" x14ac:dyDescent="0.2">
      <c r="A246" s="145"/>
      <c r="B246" s="145"/>
      <c r="C246" s="164"/>
      <c r="D246" s="164"/>
      <c r="E246" s="165"/>
      <c r="F246" s="165"/>
      <c r="G246" s="145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145"/>
    </row>
    <row r="247" spans="1:21" ht="14.25" x14ac:dyDescent="0.2">
      <c r="A247" s="145"/>
      <c r="B247" s="145"/>
      <c r="C247" s="164"/>
      <c r="D247" s="164"/>
      <c r="E247" s="165"/>
      <c r="F247" s="165"/>
      <c r="G247" s="145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145"/>
    </row>
    <row r="248" spans="1:21" ht="14.25" x14ac:dyDescent="0.2">
      <c r="A248" s="145"/>
      <c r="B248" s="145"/>
      <c r="C248" s="164"/>
      <c r="D248" s="164"/>
      <c r="E248" s="165"/>
      <c r="F248" s="165"/>
      <c r="G248" s="145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145"/>
    </row>
    <row r="249" spans="1:21" ht="14.25" x14ac:dyDescent="0.2">
      <c r="A249" s="145"/>
      <c r="B249" s="145"/>
      <c r="C249" s="164"/>
      <c r="D249" s="164"/>
      <c r="E249" s="165"/>
      <c r="F249" s="165"/>
      <c r="G249" s="145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145"/>
    </row>
    <row r="250" spans="1:21" ht="14.25" x14ac:dyDescent="0.2">
      <c r="A250" s="145"/>
      <c r="B250" s="145"/>
      <c r="C250" s="164"/>
      <c r="D250" s="164"/>
      <c r="E250" s="165"/>
      <c r="F250" s="165"/>
      <c r="G250" s="145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145"/>
    </row>
    <row r="251" spans="1:21" ht="14.25" x14ac:dyDescent="0.2">
      <c r="A251" s="145"/>
      <c r="B251" s="145"/>
      <c r="C251" s="164"/>
      <c r="D251" s="164"/>
      <c r="E251" s="165"/>
      <c r="F251" s="165"/>
      <c r="G251" s="145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145"/>
    </row>
    <row r="252" spans="1:21" ht="14.25" x14ac:dyDescent="0.2">
      <c r="A252" s="145"/>
      <c r="B252" s="145"/>
      <c r="C252" s="164"/>
      <c r="D252" s="164"/>
      <c r="E252" s="165"/>
      <c r="F252" s="165"/>
      <c r="G252" s="145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145"/>
    </row>
    <row r="253" spans="1:21" ht="14.25" x14ac:dyDescent="0.2">
      <c r="A253" s="145"/>
      <c r="B253" s="145"/>
      <c r="C253" s="164"/>
      <c r="D253" s="164"/>
      <c r="E253" s="165"/>
      <c r="F253" s="165"/>
      <c r="G253" s="145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145"/>
    </row>
    <row r="254" spans="1:21" ht="14.25" x14ac:dyDescent="0.2">
      <c r="A254" s="145"/>
      <c r="B254" s="145"/>
      <c r="C254" s="164"/>
      <c r="D254" s="164"/>
      <c r="E254" s="165"/>
      <c r="F254" s="165"/>
      <c r="G254" s="145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145"/>
    </row>
    <row r="255" spans="1:21" ht="14.25" x14ac:dyDescent="0.2">
      <c r="A255" s="145"/>
      <c r="B255" s="145"/>
      <c r="C255" s="164"/>
      <c r="D255" s="164"/>
      <c r="E255" s="165"/>
      <c r="F255" s="165"/>
      <c r="G255" s="145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145"/>
    </row>
    <row r="256" spans="1:21" ht="14.25" x14ac:dyDescent="0.2">
      <c r="A256" s="145"/>
      <c r="B256" s="145"/>
      <c r="C256" s="164"/>
      <c r="D256" s="164"/>
      <c r="E256" s="165"/>
      <c r="F256" s="165"/>
      <c r="G256" s="145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145"/>
    </row>
    <row r="257" spans="1:21" ht="14.25" x14ac:dyDescent="0.2">
      <c r="A257" s="145"/>
      <c r="B257" s="145"/>
      <c r="C257" s="164"/>
      <c r="D257" s="164"/>
      <c r="E257" s="165"/>
      <c r="F257" s="165"/>
      <c r="G257" s="145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145"/>
    </row>
    <row r="258" spans="1:21" ht="14.25" x14ac:dyDescent="0.2">
      <c r="A258" s="145"/>
      <c r="B258" s="145"/>
      <c r="C258" s="164"/>
      <c r="D258" s="164"/>
      <c r="E258" s="165"/>
      <c r="F258" s="165"/>
      <c r="G258" s="145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145"/>
    </row>
    <row r="259" spans="1:21" ht="14.25" x14ac:dyDescent="0.2">
      <c r="A259" s="145"/>
      <c r="B259" s="145"/>
      <c r="C259" s="164"/>
      <c r="D259" s="164"/>
      <c r="E259" s="165"/>
      <c r="F259" s="165"/>
      <c r="G259" s="145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145"/>
    </row>
    <row r="260" spans="1:21" ht="14.25" x14ac:dyDescent="0.2">
      <c r="A260" s="145"/>
      <c r="B260" s="145"/>
      <c r="C260" s="164"/>
      <c r="D260" s="164"/>
      <c r="E260" s="308"/>
      <c r="F260" s="308"/>
      <c r="G260" s="145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145"/>
    </row>
    <row r="261" spans="1:21" ht="14.25" x14ac:dyDescent="0.2">
      <c r="A261" s="145"/>
      <c r="B261" s="145"/>
      <c r="C261" s="164"/>
      <c r="D261" s="164"/>
      <c r="E261" s="165"/>
      <c r="F261" s="165"/>
      <c r="G261" s="145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145"/>
    </row>
    <row r="262" spans="1:21" ht="14.25" x14ac:dyDescent="0.2">
      <c r="A262" s="145"/>
      <c r="B262" s="145"/>
      <c r="C262" s="164"/>
      <c r="D262" s="164"/>
      <c r="E262" s="165"/>
      <c r="F262" s="165"/>
      <c r="G262" s="145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145"/>
    </row>
    <row r="263" spans="1:21" ht="14.25" x14ac:dyDescent="0.2">
      <c r="A263" s="145"/>
      <c r="B263" s="145"/>
      <c r="C263" s="164"/>
      <c r="D263" s="164"/>
      <c r="E263" s="225"/>
      <c r="F263" s="225"/>
      <c r="G263" s="145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145"/>
    </row>
    <row r="264" spans="1:21" ht="14.25" x14ac:dyDescent="0.2">
      <c r="A264" s="145"/>
      <c r="B264" s="145"/>
      <c r="C264" s="164"/>
      <c r="D264" s="164"/>
      <c r="E264" s="225"/>
      <c r="F264" s="225"/>
      <c r="G264" s="145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145"/>
    </row>
    <row r="265" spans="1:21" ht="14.25" x14ac:dyDescent="0.2">
      <c r="A265" s="145"/>
      <c r="B265" s="145"/>
      <c r="C265" s="164"/>
      <c r="D265" s="164"/>
      <c r="E265" s="225"/>
      <c r="F265" s="225"/>
      <c r="G265" s="145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145"/>
    </row>
    <row r="266" spans="1:21" ht="14.25" x14ac:dyDescent="0.2">
      <c r="A266" s="145"/>
      <c r="B266" s="145"/>
      <c r="C266" s="164"/>
      <c r="D266" s="164"/>
      <c r="E266" s="225"/>
      <c r="F266" s="225"/>
      <c r="G266" s="145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145"/>
    </row>
    <row r="267" spans="1:21" ht="14.25" x14ac:dyDescent="0.2">
      <c r="A267" s="145"/>
      <c r="B267" s="145"/>
      <c r="C267" s="164"/>
      <c r="D267" s="164"/>
      <c r="E267" s="225"/>
      <c r="F267" s="225"/>
      <c r="G267" s="145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145"/>
    </row>
    <row r="268" spans="1:21" ht="14.25" x14ac:dyDescent="0.2">
      <c r="A268" s="145"/>
      <c r="B268" s="145"/>
      <c r="C268" s="164"/>
      <c r="D268" s="164"/>
      <c r="E268" s="225"/>
      <c r="F268" s="225"/>
      <c r="G268" s="145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145"/>
    </row>
    <row r="269" spans="1:21" ht="14.25" x14ac:dyDescent="0.2">
      <c r="A269" s="145"/>
      <c r="B269" s="145"/>
      <c r="C269" s="164"/>
      <c r="D269" s="164"/>
      <c r="E269" s="225"/>
      <c r="F269" s="225"/>
      <c r="G269" s="145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145"/>
    </row>
    <row r="270" spans="1:21" ht="14.25" x14ac:dyDescent="0.2">
      <c r="A270" s="145"/>
      <c r="B270" s="145"/>
      <c r="C270" s="164"/>
      <c r="D270" s="164"/>
      <c r="E270" s="225"/>
      <c r="F270" s="225"/>
      <c r="G270" s="145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145"/>
    </row>
    <row r="271" spans="1:21" ht="14.25" x14ac:dyDescent="0.2">
      <c r="A271" s="145"/>
      <c r="B271" s="145"/>
      <c r="C271" s="164"/>
      <c r="D271" s="164"/>
      <c r="E271" s="225"/>
      <c r="F271" s="225"/>
      <c r="G271" s="145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145"/>
    </row>
    <row r="272" spans="1:21" ht="14.25" x14ac:dyDescent="0.2">
      <c r="A272" s="145"/>
      <c r="B272" s="145"/>
      <c r="C272" s="164"/>
      <c r="D272" s="164"/>
      <c r="E272" s="225"/>
      <c r="F272" s="225"/>
      <c r="G272" s="145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145"/>
    </row>
    <row r="273" spans="1:21" ht="14.25" x14ac:dyDescent="0.2">
      <c r="A273" s="145"/>
      <c r="B273" s="145"/>
      <c r="C273" s="164"/>
      <c r="D273" s="164"/>
      <c r="E273" s="225"/>
      <c r="F273" s="225"/>
      <c r="G273" s="145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145"/>
    </row>
    <row r="274" spans="1:21" ht="14.25" x14ac:dyDescent="0.2">
      <c r="A274" s="145"/>
      <c r="B274" s="145"/>
      <c r="C274" s="164"/>
      <c r="D274" s="164"/>
      <c r="E274" s="225"/>
      <c r="F274" s="225"/>
      <c r="G274" s="145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145"/>
    </row>
    <row r="275" spans="1:21" ht="14.25" x14ac:dyDescent="0.2">
      <c r="A275" s="145"/>
      <c r="B275" s="145"/>
      <c r="C275" s="164"/>
      <c r="D275" s="164"/>
      <c r="E275" s="165"/>
      <c r="F275" s="165"/>
      <c r="G275" s="145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145"/>
    </row>
    <row r="276" spans="1:21" ht="14.25" x14ac:dyDescent="0.2">
      <c r="A276" s="145"/>
      <c r="B276" s="145"/>
      <c r="C276" s="164"/>
      <c r="D276" s="164"/>
      <c r="E276" s="165"/>
      <c r="F276" s="165"/>
      <c r="G276" s="145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145"/>
    </row>
    <row r="277" spans="1:21" ht="14.25" x14ac:dyDescent="0.2">
      <c r="A277" s="145"/>
      <c r="B277" s="145"/>
      <c r="C277" s="164"/>
      <c r="D277" s="164"/>
      <c r="E277" s="165"/>
      <c r="F277" s="165"/>
      <c r="G277" s="145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145"/>
    </row>
    <row r="278" spans="1:21" ht="14.25" x14ac:dyDescent="0.2">
      <c r="A278" s="145"/>
      <c r="B278" s="145"/>
      <c r="C278" s="164"/>
      <c r="D278" s="164"/>
      <c r="E278" s="165"/>
      <c r="F278" s="165"/>
      <c r="G278" s="145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145"/>
    </row>
    <row r="279" spans="1:21" ht="12.75" customHeight="1" x14ac:dyDescent="0.2">
      <c r="A279" s="145"/>
      <c r="B279" s="145"/>
      <c r="C279" s="164"/>
      <c r="D279" s="164"/>
      <c r="E279" s="165"/>
      <c r="F279" s="165"/>
      <c r="G279" s="145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145"/>
    </row>
    <row r="280" spans="1:21" ht="12.75" customHeight="1" x14ac:dyDescent="0.2">
      <c r="A280" s="145"/>
      <c r="B280" s="145"/>
      <c r="C280" s="164"/>
      <c r="D280" s="164"/>
      <c r="E280" s="165"/>
      <c r="F280" s="165"/>
      <c r="G280" s="145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145"/>
    </row>
    <row r="281" spans="1:21" ht="14.25" x14ac:dyDescent="0.2">
      <c r="A281" s="145"/>
      <c r="B281" s="145"/>
      <c r="C281" s="164"/>
      <c r="D281" s="164"/>
      <c r="E281" s="165"/>
      <c r="F281" s="165"/>
      <c r="G281" s="145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145"/>
    </row>
    <row r="282" spans="1:21" ht="12.75" customHeight="1" x14ac:dyDescent="0.2">
      <c r="A282" s="145"/>
      <c r="B282" s="145"/>
      <c r="C282" s="164"/>
      <c r="D282" s="164"/>
      <c r="E282" s="165"/>
      <c r="F282" s="165"/>
      <c r="G282" s="145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145"/>
    </row>
    <row r="283" spans="1:21" ht="12.75" customHeight="1" x14ac:dyDescent="0.2">
      <c r="A283" s="145"/>
      <c r="B283" s="145"/>
      <c r="C283" s="164"/>
      <c r="D283" s="164"/>
      <c r="E283" s="165"/>
      <c r="F283" s="165"/>
      <c r="G283" s="145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145"/>
    </row>
    <row r="284" spans="1:21" ht="14.25" x14ac:dyDescent="0.2">
      <c r="A284" s="145"/>
      <c r="B284" s="145"/>
      <c r="C284" s="164"/>
      <c r="D284" s="164"/>
      <c r="E284" s="165"/>
      <c r="F284" s="165"/>
      <c r="G284" s="145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145"/>
    </row>
    <row r="285" spans="1:21" ht="14.25" x14ac:dyDescent="0.2">
      <c r="A285" s="145"/>
      <c r="B285" s="145"/>
      <c r="C285" s="164"/>
      <c r="D285" s="164"/>
      <c r="E285" s="165"/>
      <c r="F285" s="165"/>
      <c r="G285" s="145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145"/>
    </row>
    <row r="286" spans="1:21" ht="12.75" customHeight="1" x14ac:dyDescent="0.2">
      <c r="A286" s="145"/>
      <c r="B286" s="145"/>
      <c r="C286" s="164"/>
      <c r="D286" s="164"/>
      <c r="E286" s="165"/>
      <c r="F286" s="165"/>
      <c r="G286" s="145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145"/>
    </row>
    <row r="287" spans="1:21" ht="14.25" x14ac:dyDescent="0.2">
      <c r="A287" s="145"/>
      <c r="B287" s="145"/>
      <c r="C287" s="164"/>
      <c r="D287" s="164"/>
      <c r="E287" s="165"/>
      <c r="F287" s="165"/>
      <c r="G287" s="145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145"/>
    </row>
    <row r="288" spans="1:21" ht="12.75" customHeight="1" x14ac:dyDescent="0.2">
      <c r="A288" s="145"/>
      <c r="B288" s="145"/>
      <c r="C288" s="164"/>
      <c r="D288" s="164"/>
      <c r="E288" s="165"/>
      <c r="F288" s="16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673" t="s">
        <v>459</v>
      </c>
      <c r="U288" s="673"/>
    </row>
  </sheetData>
  <mergeCells count="942">
    <mergeCell ref="G55:H55"/>
    <mergeCell ref="M55:N55"/>
    <mergeCell ref="P147:R147"/>
    <mergeCell ref="S146:T146"/>
    <mergeCell ref="S147:T147"/>
    <mergeCell ref="S145:T145"/>
    <mergeCell ref="N152:O152"/>
    <mergeCell ref="P152:R152"/>
    <mergeCell ref="S152:T152"/>
    <mergeCell ref="H151:I151"/>
    <mergeCell ref="J151:K151"/>
    <mergeCell ref="L151:M151"/>
    <mergeCell ref="N151:O151"/>
    <mergeCell ref="P151:R151"/>
    <mergeCell ref="S151:T151"/>
    <mergeCell ref="H86:I86"/>
    <mergeCell ref="J86:K86"/>
    <mergeCell ref="H85:I85"/>
    <mergeCell ref="H148:I148"/>
    <mergeCell ref="J148:K148"/>
    <mergeCell ref="L148:M148"/>
    <mergeCell ref="N148:O148"/>
    <mergeCell ref="P148:R148"/>
    <mergeCell ref="S148:T148"/>
    <mergeCell ref="S16:T16"/>
    <mergeCell ref="H117:I117"/>
    <mergeCell ref="J117:K117"/>
    <mergeCell ref="L117:M117"/>
    <mergeCell ref="N117:O117"/>
    <mergeCell ref="P117:R117"/>
    <mergeCell ref="S117:T117"/>
    <mergeCell ref="T114:U114"/>
    <mergeCell ref="L106:M106"/>
    <mergeCell ref="J85:K85"/>
    <mergeCell ref="L86:M86"/>
    <mergeCell ref="N86:O86"/>
    <mergeCell ref="P86:R86"/>
    <mergeCell ref="S86:T86"/>
    <mergeCell ref="L85:M85"/>
    <mergeCell ref="N85:O85"/>
    <mergeCell ref="P85:R85"/>
    <mergeCell ref="S85:T85"/>
    <mergeCell ref="N107:O107"/>
    <mergeCell ref="P107:R107"/>
    <mergeCell ref="S107:T107"/>
    <mergeCell ref="J106:K106"/>
    <mergeCell ref="N106:O106"/>
    <mergeCell ref="P106:R106"/>
    <mergeCell ref="B238:C238"/>
    <mergeCell ref="D238:G238"/>
    <mergeCell ref="H16:I16"/>
    <mergeCell ref="J16:K16"/>
    <mergeCell ref="L16:M16"/>
    <mergeCell ref="N16:O16"/>
    <mergeCell ref="H176:I176"/>
    <mergeCell ref="J176:K176"/>
    <mergeCell ref="L176:M176"/>
    <mergeCell ref="N176:O176"/>
    <mergeCell ref="H236:I236"/>
    <mergeCell ref="J236:K236"/>
    <mergeCell ref="L236:M236"/>
    <mergeCell ref="N236:O236"/>
    <mergeCell ref="H152:I152"/>
    <mergeCell ref="J152:K152"/>
    <mergeCell ref="L152:M152"/>
    <mergeCell ref="H150:I150"/>
    <mergeCell ref="J150:K150"/>
    <mergeCell ref="L221:M221"/>
    <mergeCell ref="N221:O221"/>
    <mergeCell ref="H214:I214"/>
    <mergeCell ref="J214:K214"/>
    <mergeCell ref="L214:M214"/>
    <mergeCell ref="S166:T166"/>
    <mergeCell ref="S165:T165"/>
    <mergeCell ref="T288:U288"/>
    <mergeCell ref="H146:I146"/>
    <mergeCell ref="J146:K146"/>
    <mergeCell ref="L146:M146"/>
    <mergeCell ref="N146:O146"/>
    <mergeCell ref="H147:I147"/>
    <mergeCell ref="J147:K147"/>
    <mergeCell ref="N245:O245"/>
    <mergeCell ref="H166:I166"/>
    <mergeCell ref="J166:K166"/>
    <mergeCell ref="L166:M166"/>
    <mergeCell ref="N166:O166"/>
    <mergeCell ref="P166:R166"/>
    <mergeCell ref="H241:I241"/>
    <mergeCell ref="J241:K241"/>
    <mergeCell ref="L241:M241"/>
    <mergeCell ref="N241:O241"/>
    <mergeCell ref="P241:R241"/>
    <mergeCell ref="S176:T176"/>
    <mergeCell ref="P236:R236"/>
    <mergeCell ref="S236:T236"/>
    <mergeCell ref="P220:R220"/>
    <mergeCell ref="S245:T245"/>
    <mergeCell ref="H244:I244"/>
    <mergeCell ref="J244:K244"/>
    <mergeCell ref="L244:M244"/>
    <mergeCell ref="N244:O244"/>
    <mergeCell ref="P244:R244"/>
    <mergeCell ref="S244:T244"/>
    <mergeCell ref="H245:I245"/>
    <mergeCell ref="J245:K245"/>
    <mergeCell ref="L245:M245"/>
    <mergeCell ref="P245:R245"/>
    <mergeCell ref="S241:T241"/>
    <mergeCell ref="H240:I240"/>
    <mergeCell ref="J240:K240"/>
    <mergeCell ref="L240:M240"/>
    <mergeCell ref="N240:O240"/>
    <mergeCell ref="P240:R240"/>
    <mergeCell ref="S240:T240"/>
    <mergeCell ref="S243:T243"/>
    <mergeCell ref="H242:I242"/>
    <mergeCell ref="J242:K242"/>
    <mergeCell ref="L242:M242"/>
    <mergeCell ref="N242:O242"/>
    <mergeCell ref="P242:R242"/>
    <mergeCell ref="S242:T242"/>
    <mergeCell ref="H243:I243"/>
    <mergeCell ref="J243:K243"/>
    <mergeCell ref="L243:M243"/>
    <mergeCell ref="N243:O243"/>
    <mergeCell ref="P243:R243"/>
    <mergeCell ref="S223:T223"/>
    <mergeCell ref="S222:T222"/>
    <mergeCell ref="P225:R225"/>
    <mergeCell ref="S225:T225"/>
    <mergeCell ref="H224:I224"/>
    <mergeCell ref="J224:K224"/>
    <mergeCell ref="L224:M224"/>
    <mergeCell ref="N224:O224"/>
    <mergeCell ref="P224:R224"/>
    <mergeCell ref="S224:T224"/>
    <mergeCell ref="T233:U233"/>
    <mergeCell ref="J226:K226"/>
    <mergeCell ref="L226:M226"/>
    <mergeCell ref="N226:O226"/>
    <mergeCell ref="P226:R226"/>
    <mergeCell ref="H235:I235"/>
    <mergeCell ref="J235:K235"/>
    <mergeCell ref="L235:M235"/>
    <mergeCell ref="N235:O235"/>
    <mergeCell ref="P235:R235"/>
    <mergeCell ref="S235:T235"/>
    <mergeCell ref="C239:G239"/>
    <mergeCell ref="H218:I218"/>
    <mergeCell ref="J218:K218"/>
    <mergeCell ref="L218:M218"/>
    <mergeCell ref="N218:O218"/>
    <mergeCell ref="P218:R218"/>
    <mergeCell ref="H220:I220"/>
    <mergeCell ref="J220:K220"/>
    <mergeCell ref="L220:M220"/>
    <mergeCell ref="N220:O220"/>
    <mergeCell ref="H223:I223"/>
    <mergeCell ref="J223:K223"/>
    <mergeCell ref="L223:M223"/>
    <mergeCell ref="N223:O223"/>
    <mergeCell ref="P223:R223"/>
    <mergeCell ref="H222:I222"/>
    <mergeCell ref="J222:K222"/>
    <mergeCell ref="L222:M222"/>
    <mergeCell ref="N222:O222"/>
    <mergeCell ref="P222:R222"/>
    <mergeCell ref="H225:I225"/>
    <mergeCell ref="J225:K225"/>
    <mergeCell ref="L225:M225"/>
    <mergeCell ref="N225:O225"/>
    <mergeCell ref="S218:T218"/>
    <mergeCell ref="H219:I219"/>
    <mergeCell ref="J219:K219"/>
    <mergeCell ref="L219:M219"/>
    <mergeCell ref="N219:O219"/>
    <mergeCell ref="P219:R219"/>
    <mergeCell ref="S219:T219"/>
    <mergeCell ref="J221:K221"/>
    <mergeCell ref="H216:I216"/>
    <mergeCell ref="J216:K216"/>
    <mergeCell ref="L216:M216"/>
    <mergeCell ref="N216:O216"/>
    <mergeCell ref="P216:R216"/>
    <mergeCell ref="S216:T216"/>
    <mergeCell ref="H217:I217"/>
    <mergeCell ref="J217:K217"/>
    <mergeCell ref="L217:M217"/>
    <mergeCell ref="N217:O217"/>
    <mergeCell ref="P217:R217"/>
    <mergeCell ref="S217:T217"/>
    <mergeCell ref="P221:R221"/>
    <mergeCell ref="S221:T221"/>
    <mergeCell ref="S220:T220"/>
    <mergeCell ref="H221:I221"/>
    <mergeCell ref="N214:O214"/>
    <mergeCell ref="P214:R214"/>
    <mergeCell ref="S214:T214"/>
    <mergeCell ref="H215:I215"/>
    <mergeCell ref="J215:K215"/>
    <mergeCell ref="L215:M215"/>
    <mergeCell ref="N215:O215"/>
    <mergeCell ref="P215:R215"/>
    <mergeCell ref="S215:T215"/>
    <mergeCell ref="H212:I212"/>
    <mergeCell ref="J212:K212"/>
    <mergeCell ref="L212:M212"/>
    <mergeCell ref="N212:O212"/>
    <mergeCell ref="P212:R212"/>
    <mergeCell ref="S212:T212"/>
    <mergeCell ref="H213:I213"/>
    <mergeCell ref="J213:K213"/>
    <mergeCell ref="L213:M213"/>
    <mergeCell ref="N213:O213"/>
    <mergeCell ref="P213:R213"/>
    <mergeCell ref="S213:T213"/>
    <mergeCell ref="H210:I210"/>
    <mergeCell ref="J210:K210"/>
    <mergeCell ref="L210:M210"/>
    <mergeCell ref="N210:O210"/>
    <mergeCell ref="P210:R210"/>
    <mergeCell ref="S210:T210"/>
    <mergeCell ref="H211:I211"/>
    <mergeCell ref="J211:K211"/>
    <mergeCell ref="L211:M211"/>
    <mergeCell ref="N211:O211"/>
    <mergeCell ref="P211:R211"/>
    <mergeCell ref="S211:T211"/>
    <mergeCell ref="H208:I208"/>
    <mergeCell ref="J208:K208"/>
    <mergeCell ref="L208:M208"/>
    <mergeCell ref="N208:O208"/>
    <mergeCell ref="P208:R208"/>
    <mergeCell ref="S208:T208"/>
    <mergeCell ref="H209:I209"/>
    <mergeCell ref="J209:K209"/>
    <mergeCell ref="L209:M209"/>
    <mergeCell ref="N209:O209"/>
    <mergeCell ref="P209:R209"/>
    <mergeCell ref="S209:T209"/>
    <mergeCell ref="H206:I206"/>
    <mergeCell ref="J206:K206"/>
    <mergeCell ref="L206:M206"/>
    <mergeCell ref="N206:O206"/>
    <mergeCell ref="P206:R206"/>
    <mergeCell ref="S206:T206"/>
    <mergeCell ref="H207:I207"/>
    <mergeCell ref="J207:K207"/>
    <mergeCell ref="L207:M207"/>
    <mergeCell ref="N207:O207"/>
    <mergeCell ref="P207:R207"/>
    <mergeCell ref="S207:T207"/>
    <mergeCell ref="H202:I202"/>
    <mergeCell ref="J202:K202"/>
    <mergeCell ref="L202:M202"/>
    <mergeCell ref="N202:O202"/>
    <mergeCell ref="P202:R202"/>
    <mergeCell ref="S202:T202"/>
    <mergeCell ref="H203:I203"/>
    <mergeCell ref="J203:K203"/>
    <mergeCell ref="L203:M203"/>
    <mergeCell ref="N203:O203"/>
    <mergeCell ref="P203:R203"/>
    <mergeCell ref="S203:T203"/>
    <mergeCell ref="H200:I200"/>
    <mergeCell ref="J200:K200"/>
    <mergeCell ref="L200:M200"/>
    <mergeCell ref="N200:O200"/>
    <mergeCell ref="P200:R200"/>
    <mergeCell ref="S200:T200"/>
    <mergeCell ref="H201:I201"/>
    <mergeCell ref="J201:K201"/>
    <mergeCell ref="L201:M201"/>
    <mergeCell ref="N201:O201"/>
    <mergeCell ref="P201:R201"/>
    <mergeCell ref="S201:T201"/>
    <mergeCell ref="H181:I181"/>
    <mergeCell ref="J181:K181"/>
    <mergeCell ref="L181:M181"/>
    <mergeCell ref="N181:O181"/>
    <mergeCell ref="P181:R181"/>
    <mergeCell ref="S181:T181"/>
    <mergeCell ref="H180:I180"/>
    <mergeCell ref="J180:K180"/>
    <mergeCell ref="L180:M180"/>
    <mergeCell ref="N180:O180"/>
    <mergeCell ref="P180:R180"/>
    <mergeCell ref="S180:T180"/>
    <mergeCell ref="H196:I196"/>
    <mergeCell ref="J196:K196"/>
    <mergeCell ref="L196:M196"/>
    <mergeCell ref="N196:O196"/>
    <mergeCell ref="P196:R196"/>
    <mergeCell ref="S196:T196"/>
    <mergeCell ref="H197:I197"/>
    <mergeCell ref="J197:K197"/>
    <mergeCell ref="L197:M197"/>
    <mergeCell ref="N197:O197"/>
    <mergeCell ref="P197:R197"/>
    <mergeCell ref="S197:T197"/>
    <mergeCell ref="H194:I194"/>
    <mergeCell ref="J194:K194"/>
    <mergeCell ref="L194:M194"/>
    <mergeCell ref="N194:O194"/>
    <mergeCell ref="P194:R194"/>
    <mergeCell ref="S194:T194"/>
    <mergeCell ref="H195:I195"/>
    <mergeCell ref="J195:K195"/>
    <mergeCell ref="L195:M195"/>
    <mergeCell ref="N195:O195"/>
    <mergeCell ref="P195:R195"/>
    <mergeCell ref="S195:T195"/>
    <mergeCell ref="H192:I192"/>
    <mergeCell ref="J192:K192"/>
    <mergeCell ref="L192:M192"/>
    <mergeCell ref="N192:O192"/>
    <mergeCell ref="P192:R192"/>
    <mergeCell ref="S192:T192"/>
    <mergeCell ref="H193:I193"/>
    <mergeCell ref="J193:K193"/>
    <mergeCell ref="L193:M193"/>
    <mergeCell ref="N193:O193"/>
    <mergeCell ref="P193:R193"/>
    <mergeCell ref="S193:T193"/>
    <mergeCell ref="H190:I190"/>
    <mergeCell ref="J190:K190"/>
    <mergeCell ref="L190:M190"/>
    <mergeCell ref="N190:O190"/>
    <mergeCell ref="P190:R190"/>
    <mergeCell ref="S190:T190"/>
    <mergeCell ref="H191:I191"/>
    <mergeCell ref="J191:K191"/>
    <mergeCell ref="L191:M191"/>
    <mergeCell ref="N191:O191"/>
    <mergeCell ref="P191:R191"/>
    <mergeCell ref="S191:T191"/>
    <mergeCell ref="H188:I188"/>
    <mergeCell ref="J188:K188"/>
    <mergeCell ref="L188:M188"/>
    <mergeCell ref="N188:O188"/>
    <mergeCell ref="P188:R188"/>
    <mergeCell ref="S188:T188"/>
    <mergeCell ref="H189:I189"/>
    <mergeCell ref="J189:K189"/>
    <mergeCell ref="L189:M189"/>
    <mergeCell ref="N189:O189"/>
    <mergeCell ref="P189:R189"/>
    <mergeCell ref="S189:T189"/>
    <mergeCell ref="H186:I186"/>
    <mergeCell ref="J186:K186"/>
    <mergeCell ref="L186:M186"/>
    <mergeCell ref="N186:O186"/>
    <mergeCell ref="P186:R186"/>
    <mergeCell ref="S186:T186"/>
    <mergeCell ref="H187:I187"/>
    <mergeCell ref="J187:K187"/>
    <mergeCell ref="L187:M187"/>
    <mergeCell ref="N187:O187"/>
    <mergeCell ref="P187:R187"/>
    <mergeCell ref="S187:T187"/>
    <mergeCell ref="J184:K184"/>
    <mergeCell ref="L184:M184"/>
    <mergeCell ref="N184:O184"/>
    <mergeCell ref="P184:R184"/>
    <mergeCell ref="S184:T184"/>
    <mergeCell ref="H185:I185"/>
    <mergeCell ref="J185:K185"/>
    <mergeCell ref="L185:M185"/>
    <mergeCell ref="N185:O185"/>
    <mergeCell ref="P185:R185"/>
    <mergeCell ref="S185:T185"/>
    <mergeCell ref="N182:O182"/>
    <mergeCell ref="P182:R182"/>
    <mergeCell ref="S182:T182"/>
    <mergeCell ref="H183:I183"/>
    <mergeCell ref="J183:K183"/>
    <mergeCell ref="L183:M183"/>
    <mergeCell ref="N183:O183"/>
    <mergeCell ref="P183:R183"/>
    <mergeCell ref="S183:T183"/>
    <mergeCell ref="H182:I182"/>
    <mergeCell ref="N168:O168"/>
    <mergeCell ref="P168:R168"/>
    <mergeCell ref="S168:T168"/>
    <mergeCell ref="B178:C178"/>
    <mergeCell ref="D178:G178"/>
    <mergeCell ref="T173:U173"/>
    <mergeCell ref="H175:I175"/>
    <mergeCell ref="J175:K175"/>
    <mergeCell ref="L175:M175"/>
    <mergeCell ref="N175:O175"/>
    <mergeCell ref="P175:R175"/>
    <mergeCell ref="S175:T175"/>
    <mergeCell ref="P176:R176"/>
    <mergeCell ref="J168:K168"/>
    <mergeCell ref="L168:M168"/>
    <mergeCell ref="B163:G163"/>
    <mergeCell ref="H165:I165"/>
    <mergeCell ref="J165:K165"/>
    <mergeCell ref="L165:M165"/>
    <mergeCell ref="N165:O165"/>
    <mergeCell ref="P165:R165"/>
    <mergeCell ref="H167:I167"/>
    <mergeCell ref="J167:K167"/>
    <mergeCell ref="L167:M167"/>
    <mergeCell ref="N167:O167"/>
    <mergeCell ref="P167:R167"/>
    <mergeCell ref="N158:O158"/>
    <mergeCell ref="P158:R158"/>
    <mergeCell ref="S158:T158"/>
    <mergeCell ref="S154:T154"/>
    <mergeCell ref="H160:I160"/>
    <mergeCell ref="J160:K160"/>
    <mergeCell ref="L160:M160"/>
    <mergeCell ref="N160:O160"/>
    <mergeCell ref="P160:R160"/>
    <mergeCell ref="S160:T160"/>
    <mergeCell ref="P155:R155"/>
    <mergeCell ref="N154:O154"/>
    <mergeCell ref="H155:I155"/>
    <mergeCell ref="J155:K155"/>
    <mergeCell ref="L155:M155"/>
    <mergeCell ref="H154:I154"/>
    <mergeCell ref="J154:K154"/>
    <mergeCell ref="L154:M154"/>
    <mergeCell ref="N156:O156"/>
    <mergeCell ref="P156:R156"/>
    <mergeCell ref="S156:T156"/>
    <mergeCell ref="N157:O157"/>
    <mergeCell ref="P157:R157"/>
    <mergeCell ref="S157:T157"/>
    <mergeCell ref="N153:O153"/>
    <mergeCell ref="P153:R153"/>
    <mergeCell ref="S153:T153"/>
    <mergeCell ref="S149:T149"/>
    <mergeCell ref="N149:O149"/>
    <mergeCell ref="P149:R149"/>
    <mergeCell ref="L150:M150"/>
    <mergeCell ref="N150:O150"/>
    <mergeCell ref="P150:R150"/>
    <mergeCell ref="S150:T150"/>
    <mergeCell ref="S144:T144"/>
    <mergeCell ref="H145:I145"/>
    <mergeCell ref="J145:K145"/>
    <mergeCell ref="L145:M145"/>
    <mergeCell ref="N145:O145"/>
    <mergeCell ref="P145:R145"/>
    <mergeCell ref="N147:O147"/>
    <mergeCell ref="P146:R146"/>
    <mergeCell ref="L147:M147"/>
    <mergeCell ref="J144:K144"/>
    <mergeCell ref="L144:M144"/>
    <mergeCell ref="N144:O144"/>
    <mergeCell ref="P144:R144"/>
    <mergeCell ref="H144:I144"/>
    <mergeCell ref="H143:I143"/>
    <mergeCell ref="J143:K143"/>
    <mergeCell ref="L143:M143"/>
    <mergeCell ref="N143:O143"/>
    <mergeCell ref="P143:R143"/>
    <mergeCell ref="S143:T143"/>
    <mergeCell ref="H142:I142"/>
    <mergeCell ref="J142:K142"/>
    <mergeCell ref="L142:M142"/>
    <mergeCell ref="H141:I141"/>
    <mergeCell ref="J141:K141"/>
    <mergeCell ref="L141:M141"/>
    <mergeCell ref="N141:O141"/>
    <mergeCell ref="P141:R141"/>
    <mergeCell ref="S141:T141"/>
    <mergeCell ref="N142:O142"/>
    <mergeCell ref="P142:R142"/>
    <mergeCell ref="S142:T142"/>
    <mergeCell ref="B138:G138"/>
    <mergeCell ref="H140:I140"/>
    <mergeCell ref="J140:K140"/>
    <mergeCell ref="L140:M140"/>
    <mergeCell ref="N140:O140"/>
    <mergeCell ref="P140:R140"/>
    <mergeCell ref="S140:T140"/>
    <mergeCell ref="H136:I136"/>
    <mergeCell ref="J136:K136"/>
    <mergeCell ref="L136:M136"/>
    <mergeCell ref="N136:O136"/>
    <mergeCell ref="P136:R136"/>
    <mergeCell ref="S136:T136"/>
    <mergeCell ref="H133:I133"/>
    <mergeCell ref="J133:K133"/>
    <mergeCell ref="L133:M133"/>
    <mergeCell ref="N133:O133"/>
    <mergeCell ref="P133:R133"/>
    <mergeCell ref="S133:T133"/>
    <mergeCell ref="H205:I205"/>
    <mergeCell ref="J205:K205"/>
    <mergeCell ref="L205:M205"/>
    <mergeCell ref="N205:O205"/>
    <mergeCell ref="P205:R205"/>
    <mergeCell ref="S205:T205"/>
    <mergeCell ref="H204:I204"/>
    <mergeCell ref="J204:K204"/>
    <mergeCell ref="L204:M204"/>
    <mergeCell ref="N204:O204"/>
    <mergeCell ref="P204:R204"/>
    <mergeCell ref="S204:T204"/>
    <mergeCell ref="H135:I135"/>
    <mergeCell ref="J135:K135"/>
    <mergeCell ref="L135:M135"/>
    <mergeCell ref="N135:O135"/>
    <mergeCell ref="P135:R135"/>
    <mergeCell ref="S135:T135"/>
    <mergeCell ref="H131:I131"/>
    <mergeCell ref="J131:K131"/>
    <mergeCell ref="L131:M131"/>
    <mergeCell ref="N131:O131"/>
    <mergeCell ref="P131:R131"/>
    <mergeCell ref="S131:T131"/>
    <mergeCell ref="H132:I132"/>
    <mergeCell ref="J132:K132"/>
    <mergeCell ref="L132:M132"/>
    <mergeCell ref="N132:O132"/>
    <mergeCell ref="P132:R132"/>
    <mergeCell ref="S132:T132"/>
    <mergeCell ref="J122:K122"/>
    <mergeCell ref="L122:M122"/>
    <mergeCell ref="H122:I122"/>
    <mergeCell ref="N122:O122"/>
    <mergeCell ref="P122:R122"/>
    <mergeCell ref="S122:T122"/>
    <mergeCell ref="H129:I129"/>
    <mergeCell ref="J129:K129"/>
    <mergeCell ref="L129:M129"/>
    <mergeCell ref="N129:O129"/>
    <mergeCell ref="P129:R129"/>
    <mergeCell ref="S129:T129"/>
    <mergeCell ref="H123:I123"/>
    <mergeCell ref="J123:K123"/>
    <mergeCell ref="L123:M123"/>
    <mergeCell ref="H125:I125"/>
    <mergeCell ref="J125:K125"/>
    <mergeCell ref="S123:T123"/>
    <mergeCell ref="P124:R124"/>
    <mergeCell ref="S124:T124"/>
    <mergeCell ref="P125:R125"/>
    <mergeCell ref="L125:M125"/>
    <mergeCell ref="H124:I124"/>
    <mergeCell ref="J124:K124"/>
    <mergeCell ref="H81:I81"/>
    <mergeCell ref="J81:K81"/>
    <mergeCell ref="B119:G119"/>
    <mergeCell ref="H121:I121"/>
    <mergeCell ref="J121:K121"/>
    <mergeCell ref="L121:M121"/>
    <mergeCell ref="N121:O121"/>
    <mergeCell ref="P121:R121"/>
    <mergeCell ref="S121:T121"/>
    <mergeCell ref="H107:I107"/>
    <mergeCell ref="H116:I116"/>
    <mergeCell ref="J116:K116"/>
    <mergeCell ref="L116:M116"/>
    <mergeCell ref="N116:O116"/>
    <mergeCell ref="P116:R116"/>
    <mergeCell ref="H106:I106"/>
    <mergeCell ref="S116:T116"/>
    <mergeCell ref="S97:T97"/>
    <mergeCell ref="S98:T98"/>
    <mergeCell ref="P94:R94"/>
    <mergeCell ref="L81:M81"/>
    <mergeCell ref="N81:O81"/>
    <mergeCell ref="P81:R81"/>
    <mergeCell ref="S81:T81"/>
    <mergeCell ref="N74:O74"/>
    <mergeCell ref="P74:R74"/>
    <mergeCell ref="S74:T74"/>
    <mergeCell ref="H75:I75"/>
    <mergeCell ref="J75:K75"/>
    <mergeCell ref="L75:M75"/>
    <mergeCell ref="N75:O75"/>
    <mergeCell ref="P75:R75"/>
    <mergeCell ref="L80:M80"/>
    <mergeCell ref="N80:O80"/>
    <mergeCell ref="P80:R80"/>
    <mergeCell ref="S80:T80"/>
    <mergeCell ref="J74:K74"/>
    <mergeCell ref="L74:M74"/>
    <mergeCell ref="H80:I80"/>
    <mergeCell ref="J80:K80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L73:M73"/>
    <mergeCell ref="H199:I199"/>
    <mergeCell ref="J199:K199"/>
    <mergeCell ref="L199:M199"/>
    <mergeCell ref="H153:I153"/>
    <mergeCell ref="J153:K153"/>
    <mergeCell ref="L153:M153"/>
    <mergeCell ref="H149:I149"/>
    <mergeCell ref="J149:K149"/>
    <mergeCell ref="L149:M149"/>
    <mergeCell ref="H156:I156"/>
    <mergeCell ref="J156:K156"/>
    <mergeCell ref="L156:M156"/>
    <mergeCell ref="H157:I157"/>
    <mergeCell ref="J157:K157"/>
    <mergeCell ref="L157:M157"/>
    <mergeCell ref="J198:K198"/>
    <mergeCell ref="L198:M198"/>
    <mergeCell ref="H158:I158"/>
    <mergeCell ref="J158:K158"/>
    <mergeCell ref="L158:M158"/>
    <mergeCell ref="H168:I168"/>
    <mergeCell ref="J182:K182"/>
    <mergeCell ref="L182:M182"/>
    <mergeCell ref="H184:I184"/>
    <mergeCell ref="L124:M124"/>
    <mergeCell ref="H126:I126"/>
    <mergeCell ref="J126:K126"/>
    <mergeCell ref="H130:I130"/>
    <mergeCell ref="J130:K130"/>
    <mergeCell ref="L130:M130"/>
    <mergeCell ref="L126:M126"/>
    <mergeCell ref="N126:O126"/>
    <mergeCell ref="P126:R126"/>
    <mergeCell ref="H127:I127"/>
    <mergeCell ref="J127:K127"/>
    <mergeCell ref="L127:M127"/>
    <mergeCell ref="N127:O127"/>
    <mergeCell ref="P127:R127"/>
    <mergeCell ref="H128:I128"/>
    <mergeCell ref="J128:K128"/>
    <mergeCell ref="L128:M128"/>
    <mergeCell ref="S134:T134"/>
    <mergeCell ref="S126:T126"/>
    <mergeCell ref="S127:T127"/>
    <mergeCell ref="N128:O128"/>
    <mergeCell ref="P128:R128"/>
    <mergeCell ref="S128:T128"/>
    <mergeCell ref="S125:T125"/>
    <mergeCell ref="N123:O123"/>
    <mergeCell ref="P123:R123"/>
    <mergeCell ref="N134:O134"/>
    <mergeCell ref="P134:R134"/>
    <mergeCell ref="N125:O125"/>
    <mergeCell ref="N124:O124"/>
    <mergeCell ref="N130:O130"/>
    <mergeCell ref="P130:R130"/>
    <mergeCell ref="S130:T130"/>
    <mergeCell ref="H134:I134"/>
    <mergeCell ref="J134:K134"/>
    <mergeCell ref="L134:M134"/>
    <mergeCell ref="P154:R154"/>
    <mergeCell ref="S155:T155"/>
    <mergeCell ref="N155:O155"/>
    <mergeCell ref="H227:I227"/>
    <mergeCell ref="J227:K227"/>
    <mergeCell ref="L227:M227"/>
    <mergeCell ref="N227:O227"/>
    <mergeCell ref="P227:R227"/>
    <mergeCell ref="S227:T227"/>
    <mergeCell ref="H226:I226"/>
    <mergeCell ref="S226:T226"/>
    <mergeCell ref="H159:I159"/>
    <mergeCell ref="J159:K159"/>
    <mergeCell ref="L159:M159"/>
    <mergeCell ref="N159:O159"/>
    <mergeCell ref="P159:R159"/>
    <mergeCell ref="S159:T159"/>
    <mergeCell ref="N198:O198"/>
    <mergeCell ref="P198:R198"/>
    <mergeCell ref="S198:T198"/>
    <mergeCell ref="H198:I198"/>
    <mergeCell ref="N199:O199"/>
    <mergeCell ref="P199:R199"/>
    <mergeCell ref="S199:T199"/>
    <mergeCell ref="S167:T167"/>
    <mergeCell ref="T113:U113"/>
    <mergeCell ref="N82:O82"/>
    <mergeCell ref="B83:G83"/>
    <mergeCell ref="N83:O83"/>
    <mergeCell ref="N84:O84"/>
    <mergeCell ref="H87:I87"/>
    <mergeCell ref="J87:K87"/>
    <mergeCell ref="L87:M87"/>
    <mergeCell ref="L93:M93"/>
    <mergeCell ref="N93:O93"/>
    <mergeCell ref="H94:I94"/>
    <mergeCell ref="J94:K94"/>
    <mergeCell ref="L94:M94"/>
    <mergeCell ref="N94:O94"/>
    <mergeCell ref="P93:R93"/>
    <mergeCell ref="S93:T93"/>
    <mergeCell ref="H97:I97"/>
    <mergeCell ref="J97:K97"/>
    <mergeCell ref="L97:M97"/>
    <mergeCell ref="N97:O97"/>
    <mergeCell ref="N87:O87"/>
    <mergeCell ref="S106:T106"/>
    <mergeCell ref="J107:K107"/>
    <mergeCell ref="L107:M107"/>
    <mergeCell ref="L95:M95"/>
    <mergeCell ref="H89:I89"/>
    <mergeCell ref="J89:K89"/>
    <mergeCell ref="L89:M89"/>
    <mergeCell ref="N89:O89"/>
    <mergeCell ref="P89:R89"/>
    <mergeCell ref="S89:T89"/>
    <mergeCell ref="H88:I88"/>
    <mergeCell ref="J88:K88"/>
    <mergeCell ref="L88:M88"/>
    <mergeCell ref="N88:O88"/>
    <mergeCell ref="P88:R88"/>
    <mergeCell ref="S88:T88"/>
    <mergeCell ref="J93:K93"/>
    <mergeCell ref="S94:T94"/>
    <mergeCell ref="J96:K96"/>
    <mergeCell ref="L96:M96"/>
    <mergeCell ref="N96:O96"/>
    <mergeCell ref="P96:R96"/>
    <mergeCell ref="S96:T96"/>
    <mergeCell ref="S95:T95"/>
    <mergeCell ref="N95:O95"/>
    <mergeCell ref="P95:R95"/>
    <mergeCell ref="H98:I98"/>
    <mergeCell ref="J98:K98"/>
    <mergeCell ref="L98:M98"/>
    <mergeCell ref="N98:O98"/>
    <mergeCell ref="P98:R98"/>
    <mergeCell ref="H95:I95"/>
    <mergeCell ref="J95:K95"/>
    <mergeCell ref="J100:K100"/>
    <mergeCell ref="L100:M100"/>
    <mergeCell ref="N100:O100"/>
    <mergeCell ref="P100:R100"/>
    <mergeCell ref="P97:R97"/>
    <mergeCell ref="S100:T100"/>
    <mergeCell ref="H99:I99"/>
    <mergeCell ref="J99:K99"/>
    <mergeCell ref="L99:M99"/>
    <mergeCell ref="N99:O99"/>
    <mergeCell ref="P99:R99"/>
    <mergeCell ref="S99:T99"/>
    <mergeCell ref="L102:M102"/>
    <mergeCell ref="N102:O102"/>
    <mergeCell ref="P102:R102"/>
    <mergeCell ref="S102:T102"/>
    <mergeCell ref="H101:I101"/>
    <mergeCell ref="J101:K101"/>
    <mergeCell ref="L101:M101"/>
    <mergeCell ref="N101:O101"/>
    <mergeCell ref="P101:R101"/>
    <mergeCell ref="S101:T101"/>
    <mergeCell ref="H92:I92"/>
    <mergeCell ref="H104:I104"/>
    <mergeCell ref="H105:I105"/>
    <mergeCell ref="S105:T105"/>
    <mergeCell ref="J104:K104"/>
    <mergeCell ref="L104:M104"/>
    <mergeCell ref="N104:O104"/>
    <mergeCell ref="H103:I103"/>
    <mergeCell ref="H100:I100"/>
    <mergeCell ref="H96:I96"/>
    <mergeCell ref="H93:I93"/>
    <mergeCell ref="S104:T104"/>
    <mergeCell ref="J105:K105"/>
    <mergeCell ref="L105:M105"/>
    <mergeCell ref="N105:O105"/>
    <mergeCell ref="P105:R105"/>
    <mergeCell ref="P104:R104"/>
    <mergeCell ref="J103:K103"/>
    <mergeCell ref="L103:M103"/>
    <mergeCell ref="N103:O103"/>
    <mergeCell ref="P103:R103"/>
    <mergeCell ref="S103:T103"/>
    <mergeCell ref="H102:I102"/>
    <mergeCell ref="J102:K102"/>
    <mergeCell ref="J1:N1"/>
    <mergeCell ref="K2:M3"/>
    <mergeCell ref="O2:P2"/>
    <mergeCell ref="D4:E4"/>
    <mergeCell ref="G4:H4"/>
    <mergeCell ref="K4:M4"/>
    <mergeCell ref="O4:P4"/>
    <mergeCell ref="R4:S4"/>
    <mergeCell ref="B91:G91"/>
    <mergeCell ref="H91:I91"/>
    <mergeCell ref="P87:R87"/>
    <mergeCell ref="S87:T87"/>
    <mergeCell ref="B77:G77"/>
    <mergeCell ref="H79:I79"/>
    <mergeCell ref="J79:K79"/>
    <mergeCell ref="L79:M79"/>
    <mergeCell ref="N79:O79"/>
    <mergeCell ref="P79:R79"/>
    <mergeCell ref="S79:T79"/>
    <mergeCell ref="N73:O73"/>
    <mergeCell ref="P73:R73"/>
    <mergeCell ref="S73:T73"/>
    <mergeCell ref="S75:T75"/>
    <mergeCell ref="H74:I74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H21:I21"/>
    <mergeCell ref="J21:K21"/>
    <mergeCell ref="L21:M21"/>
    <mergeCell ref="N21:O21"/>
    <mergeCell ref="P21:R21"/>
    <mergeCell ref="S21:T21"/>
    <mergeCell ref="S18:T18"/>
    <mergeCell ref="H20:I20"/>
    <mergeCell ref="J20:K20"/>
    <mergeCell ref="L20:M20"/>
    <mergeCell ref="N20:O20"/>
    <mergeCell ref="P20:R20"/>
    <mergeCell ref="S20:T20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H25:I25"/>
    <mergeCell ref="J25:K25"/>
    <mergeCell ref="L25:M25"/>
    <mergeCell ref="N25:O25"/>
    <mergeCell ref="P25:R25"/>
    <mergeCell ref="S25:T25"/>
    <mergeCell ref="H24:I24"/>
    <mergeCell ref="J24:K24"/>
    <mergeCell ref="L24:M24"/>
    <mergeCell ref="N24:O24"/>
    <mergeCell ref="P24:R24"/>
    <mergeCell ref="S24:T24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N29:O29"/>
    <mergeCell ref="B30:G30"/>
    <mergeCell ref="N30:O30"/>
    <mergeCell ref="N31:O31"/>
    <mergeCell ref="H32:I32"/>
    <mergeCell ref="J32:K32"/>
    <mergeCell ref="L32:M32"/>
    <mergeCell ref="N32:O32"/>
    <mergeCell ref="H28:I28"/>
    <mergeCell ref="J28:K28"/>
    <mergeCell ref="L28:M28"/>
    <mergeCell ref="N28:O28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</mergeCells>
  <conditionalFormatting sqref="G140 P233:S233 U148 U138:U139 P232:R232 H232:O233 H161:R164 H138:R139 U158 U160:U164 U200:U217 U228:U232 G150 U150 U153 G153 H169:U172">
    <cfRule type="notContainsBlanks" dxfId="77" priority="71" stopIfTrue="1">
      <formula>LEN(TRIM(G138))&gt;0</formula>
    </cfRule>
  </conditionalFormatting>
  <conditionalFormatting sqref="G132">
    <cfRule type="notContainsBlanks" dxfId="76" priority="69" stopIfTrue="1">
      <formula>LEN(TRIM(G132))&gt;0</formula>
    </cfRule>
  </conditionalFormatting>
  <conditionalFormatting sqref="U165:U168">
    <cfRule type="notContainsBlanks" dxfId="75" priority="67" stopIfTrue="1">
      <formula>LEN(TRIM(U165))&gt;0</formula>
    </cfRule>
  </conditionalFormatting>
  <conditionalFormatting sqref="U140:U144">
    <cfRule type="notContainsBlanks" dxfId="74" priority="68" stopIfTrue="1">
      <formula>LEN(TRIM(U140))&gt;0</formula>
    </cfRule>
  </conditionalFormatting>
  <conditionalFormatting sqref="U196">
    <cfRule type="notContainsBlanks" dxfId="73" priority="66" stopIfTrue="1">
      <formula>LEN(TRIM(U196))&gt;0</formula>
    </cfRule>
  </conditionalFormatting>
  <conditionalFormatting sqref="G196">
    <cfRule type="notContainsBlanks" dxfId="72" priority="64" stopIfTrue="1">
      <formula>LEN(TRIM(G196))&gt;0</formula>
    </cfRule>
  </conditionalFormatting>
  <conditionalFormatting sqref="C239:D239">
    <cfRule type="notContainsBlanks" dxfId="71" priority="53" stopIfTrue="1">
      <formula>LEN(TRIM(C239))&gt;0</formula>
    </cfRule>
  </conditionalFormatting>
  <conditionalFormatting sqref="B163">
    <cfRule type="notContainsBlanks" dxfId="70" priority="49" stopIfTrue="1">
      <formula>LEN(TRIM(B163))&gt;0</formula>
    </cfRule>
  </conditionalFormatting>
  <conditionalFormatting sqref="B119">
    <cfRule type="notContainsBlanks" dxfId="69" priority="51" stopIfTrue="1">
      <formula>LEN(TRIM(B119))&gt;0</formula>
    </cfRule>
  </conditionalFormatting>
  <conditionalFormatting sqref="B138">
    <cfRule type="notContainsBlanks" dxfId="68" priority="50" stopIfTrue="1">
      <formula>LEN(TRIM(B138))&gt;0</formula>
    </cfRule>
  </conditionalFormatting>
  <conditionalFormatting sqref="B178">
    <cfRule type="notContainsBlanks" dxfId="67" priority="48" stopIfTrue="1">
      <formula>LEN(TRIM(B178))&gt;0</formula>
    </cfRule>
  </conditionalFormatting>
  <conditionalFormatting sqref="D178">
    <cfRule type="notContainsBlanks" dxfId="66" priority="46" stopIfTrue="1">
      <formula>LEN(TRIM(D178))&gt;0</formula>
    </cfRule>
  </conditionalFormatting>
  <conditionalFormatting sqref="S232:T232">
    <cfRule type="notContainsBlanks" dxfId="65" priority="44" stopIfTrue="1">
      <formula>LEN(TRIM(S232))&gt;0</formula>
    </cfRule>
  </conditionalFormatting>
  <conditionalFormatting sqref="S161:T164 S138:T139">
    <cfRule type="notContainsBlanks" dxfId="64" priority="43" stopIfTrue="1">
      <formula>LEN(TRIM(S138))&gt;0</formula>
    </cfRule>
  </conditionalFormatting>
  <conditionalFormatting sqref="U149">
    <cfRule type="notContainsBlanks" dxfId="63" priority="42" stopIfTrue="1">
      <formula>LEN(TRIM(U149))&gt;0</formula>
    </cfRule>
  </conditionalFormatting>
  <conditionalFormatting sqref="G154 U154">
    <cfRule type="notContainsBlanks" dxfId="62" priority="41" stopIfTrue="1">
      <formula>LEN(TRIM(G154))&gt;0</formula>
    </cfRule>
  </conditionalFormatting>
  <conditionalFormatting sqref="G157 U157">
    <cfRule type="notContainsBlanks" dxfId="61" priority="40" stopIfTrue="1">
      <formula>LEN(TRIM(G157))&gt;0</formula>
    </cfRule>
  </conditionalFormatting>
  <conditionalFormatting sqref="G155 U155">
    <cfRule type="notContainsBlanks" dxfId="60" priority="39" stopIfTrue="1">
      <formula>LEN(TRIM(G155))&gt;0</formula>
    </cfRule>
  </conditionalFormatting>
  <conditionalFormatting sqref="G156 U156">
    <cfRule type="notContainsBlanks" dxfId="59" priority="38" stopIfTrue="1">
      <formula>LEN(TRIM(G156))&gt;0</formula>
    </cfRule>
  </conditionalFormatting>
  <conditionalFormatting sqref="B77 B83">
    <cfRule type="notContainsBlanks" dxfId="58" priority="37" stopIfTrue="1">
      <formula>LEN(TRIM(B77))&gt;0</formula>
    </cfRule>
  </conditionalFormatting>
  <conditionalFormatting sqref="B91">
    <cfRule type="notContainsBlanks" dxfId="57" priority="33" stopIfTrue="1">
      <formula>LEN(TRIM(B91))&gt;0</formula>
    </cfRule>
  </conditionalFormatting>
  <conditionalFormatting sqref="U101">
    <cfRule type="notContainsBlanks" dxfId="56" priority="35" stopIfTrue="1">
      <formula>LEN(TRIM(U101))&gt;0</formula>
    </cfRule>
  </conditionalFormatting>
  <conditionalFormatting sqref="U102">
    <cfRule type="notContainsBlanks" dxfId="55" priority="34" stopIfTrue="1">
      <formula>LEN(TRIM(U102))&gt;0</formula>
    </cfRule>
  </conditionalFormatting>
  <conditionalFormatting sqref="T2">
    <cfRule type="containsBlanks" dxfId="54" priority="20" stopIfTrue="1">
      <formula>LEN(TRIM(T2))=0</formula>
    </cfRule>
  </conditionalFormatting>
  <conditionalFormatting sqref="M45">
    <cfRule type="containsBlanks" dxfId="53" priority="19" stopIfTrue="1">
      <formula>LEN(TRIM(M45))=0</formula>
    </cfRule>
  </conditionalFormatting>
  <conditionalFormatting sqref="B18">
    <cfRule type="notContainsBlanks" dxfId="52" priority="18" stopIfTrue="1">
      <formula>LEN(TRIM(B18))&gt;0</formula>
    </cfRule>
  </conditionalFormatting>
  <conditionalFormatting sqref="B30">
    <cfRule type="notContainsBlanks" dxfId="51" priority="17" stopIfTrue="1">
      <formula>LEN(TRIM(B30))&gt;0</formula>
    </cfRule>
  </conditionalFormatting>
  <conditionalFormatting sqref="L36">
    <cfRule type="notContainsBlanks" dxfId="50" priority="14" stopIfTrue="1">
      <formula>LEN(TRIM(L36))&gt;0</formula>
    </cfRule>
  </conditionalFormatting>
  <conditionalFormatting sqref="L38">
    <cfRule type="notContainsBlanks" dxfId="49" priority="13" stopIfTrue="1">
      <formula>LEN(TRIM(L38))&gt;0</formula>
    </cfRule>
  </conditionalFormatting>
  <conditionalFormatting sqref="P38">
    <cfRule type="notContainsBlanks" dxfId="48" priority="12" stopIfTrue="1">
      <formula>LEN(TRIM(P38))&gt;0</formula>
    </cfRule>
  </conditionalFormatting>
  <conditionalFormatting sqref="P36">
    <cfRule type="notContainsBlanks" dxfId="47" priority="11" stopIfTrue="1">
      <formula>LEN(TRIM(P36))&gt;0</formula>
    </cfRule>
  </conditionalFormatting>
  <conditionalFormatting sqref="B36">
    <cfRule type="notContainsBlanks" dxfId="46" priority="9" stopIfTrue="1">
      <formula>LEN(TRIM(B36))&gt;0</formula>
    </cfRule>
  </conditionalFormatting>
  <conditionalFormatting sqref="B38">
    <cfRule type="notContainsBlanks" dxfId="45" priority="8" stopIfTrue="1">
      <formula>LEN(TRIM(B38))&gt;0</formula>
    </cfRule>
  </conditionalFormatting>
  <conditionalFormatting sqref="B238">
    <cfRule type="notContainsBlanks" dxfId="44" priority="5" stopIfTrue="1">
      <formula>LEN(TRIM(B238))&gt;0</formula>
    </cfRule>
  </conditionalFormatting>
  <conditionalFormatting sqref="D238">
    <cfRule type="notContainsBlanks" dxfId="43" priority="4" stopIfTrue="1">
      <formula>LEN(TRIM(D238))&gt;0</formula>
    </cfRule>
  </conditionalFormatting>
  <conditionalFormatting sqref="G151 U151">
    <cfRule type="notContainsBlanks" dxfId="42" priority="3" stopIfTrue="1">
      <formula>LEN(TRIM(G151))&gt;0</formula>
    </cfRule>
  </conditionalFormatting>
  <conditionalFormatting sqref="G152 U152">
    <cfRule type="notContainsBlanks" dxfId="41" priority="2" stopIfTrue="1">
      <formula>LEN(TRIM(G152))&gt;0</formula>
    </cfRule>
  </conditionalFormatting>
  <conditionalFormatting sqref="T59">
    <cfRule type="containsBlanks" dxfId="40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14" max="20" man="1"/>
    <brk id="173" max="16383" man="1"/>
    <brk id="23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R70"/>
  <sheetViews>
    <sheetView topLeftCell="I11" zoomScaleNormal="100" zoomScaleSheetLayoutView="85" workbookViewId="0">
      <selection activeCell="S24" sqref="S24:T24"/>
    </sheetView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1" width="3.7109375" customWidth="1"/>
    <col min="32" max="33" width="10.7109375" customWidth="1"/>
    <col min="34" max="34" width="11.7109375" customWidth="1"/>
    <col min="35" max="35" width="1.7109375" customWidth="1"/>
    <col min="36" max="36" width="12.7109375" customWidth="1"/>
    <col min="37" max="39" width="10.7109375" customWidth="1"/>
    <col min="40" max="41" width="12.7109375" customWidth="1"/>
    <col min="42" max="42" width="1.7109375" customWidth="1"/>
    <col min="43" max="43" width="9.7109375" customWidth="1"/>
    <col min="44" max="44" width="10.7109375" customWidth="1"/>
  </cols>
  <sheetData>
    <row r="1" spans="1:44" ht="12.75" customHeight="1" thickTop="1" x14ac:dyDescent="0.2">
      <c r="B1" s="764" t="s">
        <v>574</v>
      </c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6"/>
      <c r="Q1" s="764" t="s">
        <v>574</v>
      </c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6"/>
      <c r="AF1" s="764" t="s">
        <v>574</v>
      </c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6"/>
    </row>
    <row r="2" spans="1:44" ht="12.75" customHeight="1" x14ac:dyDescent="0.2">
      <c r="B2" s="767"/>
      <c r="C2" s="768"/>
      <c r="D2" s="768"/>
      <c r="E2" s="768"/>
      <c r="F2" s="768"/>
      <c r="G2" s="768"/>
      <c r="H2" s="768"/>
      <c r="I2" s="768"/>
      <c r="J2" s="768"/>
      <c r="K2" s="768"/>
      <c r="L2" s="768"/>
      <c r="M2" s="768"/>
      <c r="N2" s="769"/>
      <c r="Q2" s="767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9"/>
      <c r="AF2" s="767"/>
      <c r="AG2" s="768"/>
      <c r="AH2" s="768"/>
      <c r="AI2" s="768"/>
      <c r="AJ2" s="768"/>
      <c r="AK2" s="768"/>
      <c r="AL2" s="768"/>
      <c r="AM2" s="768"/>
      <c r="AN2" s="768"/>
      <c r="AO2" s="768"/>
      <c r="AP2" s="768"/>
      <c r="AQ2" s="768"/>
      <c r="AR2" s="769"/>
    </row>
    <row r="3" spans="1:44" ht="12.75" customHeight="1" x14ac:dyDescent="0.2">
      <c r="B3" s="767"/>
      <c r="C3" s="768"/>
      <c r="D3" s="768"/>
      <c r="E3" s="768"/>
      <c r="F3" s="768"/>
      <c r="G3" s="768"/>
      <c r="H3" s="768"/>
      <c r="I3" s="768"/>
      <c r="J3" s="768"/>
      <c r="K3" s="768"/>
      <c r="L3" s="768"/>
      <c r="M3" s="768"/>
      <c r="N3" s="769"/>
      <c r="Q3" s="767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9"/>
      <c r="AF3" s="767"/>
      <c r="AG3" s="768"/>
      <c r="AH3" s="768"/>
      <c r="AI3" s="768"/>
      <c r="AJ3" s="768"/>
      <c r="AK3" s="768"/>
      <c r="AL3" s="768"/>
      <c r="AM3" s="768"/>
      <c r="AN3" s="768"/>
      <c r="AO3" s="768"/>
      <c r="AP3" s="768"/>
      <c r="AQ3" s="768"/>
      <c r="AR3" s="769"/>
    </row>
    <row r="4" spans="1:44" ht="12.75" customHeight="1" x14ac:dyDescent="0.2">
      <c r="B4" s="767"/>
      <c r="C4" s="768"/>
      <c r="D4" s="768"/>
      <c r="E4" s="768"/>
      <c r="F4" s="768"/>
      <c r="G4" s="768"/>
      <c r="H4" s="768"/>
      <c r="I4" s="768"/>
      <c r="J4" s="768"/>
      <c r="K4" s="768"/>
      <c r="L4" s="768"/>
      <c r="M4" s="768"/>
      <c r="N4" s="769"/>
      <c r="Q4" s="767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9"/>
      <c r="AF4" s="767"/>
      <c r="AG4" s="768"/>
      <c r="AH4" s="768"/>
      <c r="AI4" s="768"/>
      <c r="AJ4" s="768"/>
      <c r="AK4" s="768"/>
      <c r="AL4" s="768"/>
      <c r="AM4" s="768"/>
      <c r="AN4" s="768"/>
      <c r="AO4" s="768"/>
      <c r="AP4" s="768"/>
      <c r="AQ4" s="768"/>
      <c r="AR4" s="769"/>
    </row>
    <row r="5" spans="1:44" ht="12.75" customHeight="1" thickBot="1" x14ac:dyDescent="0.25">
      <c r="B5" s="770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2"/>
      <c r="Q5" s="770"/>
      <c r="R5" s="771"/>
      <c r="S5" s="771"/>
      <c r="T5" s="771"/>
      <c r="U5" s="771"/>
      <c r="V5" s="771"/>
      <c r="W5" s="771"/>
      <c r="X5" s="771"/>
      <c r="Y5" s="771"/>
      <c r="Z5" s="771"/>
      <c r="AA5" s="771"/>
      <c r="AB5" s="771"/>
      <c r="AC5" s="772"/>
      <c r="AF5" s="770"/>
      <c r="AG5" s="771"/>
      <c r="AH5" s="771"/>
      <c r="AI5" s="771"/>
      <c r="AJ5" s="771"/>
      <c r="AK5" s="771"/>
      <c r="AL5" s="771"/>
      <c r="AM5" s="771"/>
      <c r="AN5" s="771"/>
      <c r="AO5" s="771"/>
      <c r="AP5" s="771"/>
      <c r="AQ5" s="771"/>
      <c r="AR5" s="772"/>
    </row>
    <row r="6" spans="1:44" ht="12.75" customHeight="1" thickTop="1" x14ac:dyDescent="0.2">
      <c r="B6" s="60"/>
      <c r="C6" s="60"/>
      <c r="D6" s="385"/>
      <c r="E6" s="385"/>
      <c r="F6" s="385"/>
      <c r="G6" s="385"/>
      <c r="H6" s="385"/>
      <c r="I6" s="60"/>
      <c r="J6" s="60"/>
      <c r="K6" s="60"/>
      <c r="L6" s="60"/>
      <c r="M6" s="60"/>
      <c r="N6" s="60"/>
      <c r="Q6" s="60"/>
      <c r="R6" s="60"/>
      <c r="S6" s="385"/>
      <c r="T6" s="385"/>
      <c r="U6" s="385"/>
      <c r="V6" s="385"/>
      <c r="W6" s="385"/>
      <c r="X6" s="60"/>
      <c r="Y6" s="60"/>
      <c r="Z6" s="60"/>
      <c r="AA6" s="60"/>
      <c r="AB6" s="60"/>
      <c r="AC6" s="60"/>
      <c r="AF6" s="60"/>
      <c r="AG6" s="60"/>
      <c r="AH6" s="385"/>
      <c r="AI6" s="385"/>
      <c r="AJ6" s="385"/>
      <c r="AK6" s="385"/>
      <c r="AL6" s="385"/>
      <c r="AM6" s="60"/>
      <c r="AN6" s="60"/>
      <c r="AO6" s="60"/>
      <c r="AP6" s="60"/>
      <c r="AQ6" s="60"/>
      <c r="AR6" s="60"/>
    </row>
    <row r="7" spans="1:44" ht="12.75" customHeight="1" thickBot="1" x14ac:dyDescent="0.25">
      <c r="D7" s="385"/>
      <c r="E7" s="385"/>
      <c r="F7" s="385"/>
      <c r="G7" s="385"/>
      <c r="H7" s="385"/>
      <c r="S7" s="385"/>
      <c r="T7" s="385"/>
      <c r="U7" s="385"/>
      <c r="V7" s="385"/>
      <c r="W7" s="385"/>
      <c r="AH7" s="385"/>
      <c r="AI7" s="385"/>
      <c r="AJ7" s="385"/>
      <c r="AK7" s="385"/>
      <c r="AL7" s="385"/>
    </row>
    <row r="8" spans="1:44" s="60" customFormat="1" ht="15.95" customHeight="1" thickTop="1" x14ac:dyDescent="0.25">
      <c r="A8" s="386"/>
      <c r="B8" s="773" t="s">
        <v>545</v>
      </c>
      <c r="C8" s="774"/>
      <c r="D8" s="774"/>
      <c r="E8" s="387" t="s">
        <v>318</v>
      </c>
      <c r="F8" s="775" t="e">
        <f>H_ENGINE_TYPE</f>
        <v>#NAME?</v>
      </c>
      <c r="G8" s="775"/>
      <c r="H8" s="388"/>
      <c r="I8" s="774" t="s">
        <v>546</v>
      </c>
      <c r="J8" s="774"/>
      <c r="K8" s="774"/>
      <c r="L8" s="387" t="s">
        <v>318</v>
      </c>
      <c r="M8" s="776" t="e">
        <f>H_TEST_DATE</f>
        <v>#NAME?</v>
      </c>
      <c r="N8" s="777"/>
      <c r="P8" s="386"/>
      <c r="Q8" s="773" t="s">
        <v>545</v>
      </c>
      <c r="R8" s="774"/>
      <c r="S8" s="774"/>
      <c r="T8" s="387" t="s">
        <v>318</v>
      </c>
      <c r="U8" s="775" t="e">
        <f>H_ENGINE_TYPE</f>
        <v>#NAME?</v>
      </c>
      <c r="V8" s="775"/>
      <c r="W8" s="388"/>
      <c r="X8" s="774" t="s">
        <v>546</v>
      </c>
      <c r="Y8" s="774"/>
      <c r="Z8" s="774"/>
      <c r="AA8" s="387" t="s">
        <v>318</v>
      </c>
      <c r="AB8" s="776" t="e">
        <f>H_TEST_DATE</f>
        <v>#NAME?</v>
      </c>
      <c r="AC8" s="777"/>
      <c r="AF8" s="773" t="s">
        <v>545</v>
      </c>
      <c r="AG8" s="774"/>
      <c r="AH8" s="774"/>
      <c r="AI8" s="387" t="s">
        <v>318</v>
      </c>
      <c r="AJ8" s="775" t="e">
        <f>H_ENGINE_TYPE</f>
        <v>#NAME?</v>
      </c>
      <c r="AK8" s="775"/>
      <c r="AL8" s="388"/>
      <c r="AM8" s="774" t="s">
        <v>546</v>
      </c>
      <c r="AN8" s="774"/>
      <c r="AO8" s="774"/>
      <c r="AP8" s="387" t="s">
        <v>318</v>
      </c>
      <c r="AQ8" s="776" t="e">
        <f>H_TEST_DATE</f>
        <v>#NAME?</v>
      </c>
      <c r="AR8" s="777"/>
    </row>
    <row r="9" spans="1:44" s="60" customFormat="1" ht="2.1" customHeight="1" x14ac:dyDescent="0.25">
      <c r="A9" s="389"/>
      <c r="B9" s="754" t="s">
        <v>547</v>
      </c>
      <c r="C9" s="755"/>
      <c r="D9" s="755"/>
      <c r="E9" s="755"/>
      <c r="F9" s="390"/>
      <c r="G9" s="390"/>
      <c r="H9" s="391"/>
      <c r="I9" s="755" t="s">
        <v>547</v>
      </c>
      <c r="J9" s="755"/>
      <c r="K9" s="755"/>
      <c r="L9" s="755"/>
      <c r="M9" s="392"/>
      <c r="N9" s="393"/>
      <c r="P9" s="389"/>
      <c r="Q9" s="754" t="s">
        <v>547</v>
      </c>
      <c r="R9" s="755"/>
      <c r="S9" s="755"/>
      <c r="T9" s="755"/>
      <c r="U9" s="390"/>
      <c r="V9" s="390"/>
      <c r="W9" s="391"/>
      <c r="X9" s="755" t="s">
        <v>547</v>
      </c>
      <c r="Y9" s="755"/>
      <c r="Z9" s="755"/>
      <c r="AA9" s="755"/>
      <c r="AB9" s="392"/>
      <c r="AC9" s="393"/>
      <c r="AF9" s="754" t="s">
        <v>547</v>
      </c>
      <c r="AG9" s="755"/>
      <c r="AH9" s="755"/>
      <c r="AI9" s="755"/>
      <c r="AJ9" s="481"/>
      <c r="AK9" s="481"/>
      <c r="AL9" s="391"/>
      <c r="AM9" s="755" t="s">
        <v>547</v>
      </c>
      <c r="AN9" s="755"/>
      <c r="AO9" s="755"/>
      <c r="AP9" s="755"/>
      <c r="AQ9" s="392"/>
      <c r="AR9" s="393"/>
    </row>
    <row r="10" spans="1:44" s="60" customFormat="1" ht="15.95" customHeight="1" x14ac:dyDescent="0.25">
      <c r="A10" s="386"/>
      <c r="B10" s="756" t="s">
        <v>93</v>
      </c>
      <c r="C10" s="757"/>
      <c r="D10" s="757"/>
      <c r="E10" s="394" t="s">
        <v>318</v>
      </c>
      <c r="F10" s="758" t="e">
        <f>H_CUSTOMER_NAME</f>
        <v>#NAME?</v>
      </c>
      <c r="G10" s="758"/>
      <c r="H10" s="391"/>
      <c r="I10" s="757" t="s">
        <v>548</v>
      </c>
      <c r="J10" s="757"/>
      <c r="K10" s="757"/>
      <c r="L10" s="394" t="s">
        <v>318</v>
      </c>
      <c r="M10" s="758" t="e">
        <f>H_ESM_REV_NO</f>
        <v>#NAME?</v>
      </c>
      <c r="N10" s="759"/>
      <c r="P10" s="386"/>
      <c r="Q10" s="756" t="s">
        <v>93</v>
      </c>
      <c r="R10" s="757"/>
      <c r="S10" s="757"/>
      <c r="T10" s="394" t="s">
        <v>318</v>
      </c>
      <c r="U10" s="758" t="e">
        <f>H_CUSTOMER_NAME</f>
        <v>#NAME?</v>
      </c>
      <c r="V10" s="758"/>
      <c r="W10" s="391"/>
      <c r="X10" s="757" t="s">
        <v>548</v>
      </c>
      <c r="Y10" s="757"/>
      <c r="Z10" s="757"/>
      <c r="AA10" s="394" t="s">
        <v>318</v>
      </c>
      <c r="AB10" s="758" t="e">
        <f>H_ESM_REV_NO</f>
        <v>#NAME?</v>
      </c>
      <c r="AC10" s="759"/>
      <c r="AF10" s="756" t="s">
        <v>93</v>
      </c>
      <c r="AG10" s="757"/>
      <c r="AH10" s="757"/>
      <c r="AI10" s="394" t="s">
        <v>318</v>
      </c>
      <c r="AJ10" s="758" t="e">
        <f>H_CUSTOMER_NAME</f>
        <v>#NAME?</v>
      </c>
      <c r="AK10" s="758"/>
      <c r="AL10" s="391"/>
      <c r="AM10" s="757" t="s">
        <v>548</v>
      </c>
      <c r="AN10" s="757"/>
      <c r="AO10" s="757"/>
      <c r="AP10" s="394" t="s">
        <v>318</v>
      </c>
      <c r="AQ10" s="758" t="e">
        <f>H_ESM_REV_NO</f>
        <v>#NAME?</v>
      </c>
      <c r="AR10" s="759"/>
    </row>
    <row r="11" spans="1:44" s="60" customFormat="1" ht="2.1" customHeight="1" x14ac:dyDescent="0.25">
      <c r="A11" s="389"/>
      <c r="B11" s="754" t="s">
        <v>547</v>
      </c>
      <c r="C11" s="755"/>
      <c r="D11" s="755"/>
      <c r="E11" s="755"/>
      <c r="F11" s="390"/>
      <c r="G11" s="390"/>
      <c r="H11" s="391"/>
      <c r="I11" s="755" t="s">
        <v>547</v>
      </c>
      <c r="J11" s="755"/>
      <c r="K11" s="755"/>
      <c r="L11" s="755"/>
      <c r="M11" s="390"/>
      <c r="N11" s="395"/>
      <c r="P11" s="389"/>
      <c r="Q11" s="754" t="s">
        <v>547</v>
      </c>
      <c r="R11" s="755"/>
      <c r="S11" s="755"/>
      <c r="T11" s="755"/>
      <c r="U11" s="390"/>
      <c r="V11" s="390"/>
      <c r="W11" s="391"/>
      <c r="X11" s="755" t="s">
        <v>547</v>
      </c>
      <c r="Y11" s="755"/>
      <c r="Z11" s="755"/>
      <c r="AA11" s="755"/>
      <c r="AB11" s="390"/>
      <c r="AC11" s="395"/>
      <c r="AF11" s="754" t="s">
        <v>547</v>
      </c>
      <c r="AG11" s="755"/>
      <c r="AH11" s="755"/>
      <c r="AI11" s="755"/>
      <c r="AJ11" s="481"/>
      <c r="AK11" s="481"/>
      <c r="AL11" s="391"/>
      <c r="AM11" s="755" t="s">
        <v>547</v>
      </c>
      <c r="AN11" s="755"/>
      <c r="AO11" s="755"/>
      <c r="AP11" s="755"/>
      <c r="AQ11" s="481"/>
      <c r="AR11" s="482"/>
    </row>
    <row r="12" spans="1:44" s="60" customFormat="1" ht="15.95" customHeight="1" x14ac:dyDescent="0.25">
      <c r="A12" s="386"/>
      <c r="B12" s="756" t="s">
        <v>549</v>
      </c>
      <c r="C12" s="757"/>
      <c r="D12" s="757"/>
      <c r="E12" s="394" t="s">
        <v>318</v>
      </c>
      <c r="F12" s="758" t="e">
        <f>H_ENGINE_SERIAL_NO</f>
        <v>#NAME?</v>
      </c>
      <c r="G12" s="758"/>
      <c r="H12" s="391"/>
      <c r="I12" s="757" t="s">
        <v>550</v>
      </c>
      <c r="J12" s="757"/>
      <c r="K12" s="757"/>
      <c r="L12" s="394" t="s">
        <v>318</v>
      </c>
      <c r="M12" s="758" t="e">
        <f>H_ECU_SOFT</f>
        <v>#NAME?</v>
      </c>
      <c r="N12" s="759"/>
      <c r="P12" s="386"/>
      <c r="Q12" s="756" t="s">
        <v>549</v>
      </c>
      <c r="R12" s="757"/>
      <c r="S12" s="757"/>
      <c r="T12" s="394" t="s">
        <v>318</v>
      </c>
      <c r="U12" s="758" t="e">
        <f>H_ENGINE_SERIAL_NO</f>
        <v>#NAME?</v>
      </c>
      <c r="V12" s="758"/>
      <c r="W12" s="391"/>
      <c r="X12" s="757" t="s">
        <v>550</v>
      </c>
      <c r="Y12" s="757"/>
      <c r="Z12" s="757"/>
      <c r="AA12" s="394" t="s">
        <v>318</v>
      </c>
      <c r="AB12" s="758" t="e">
        <f>H_ECU_SOFT</f>
        <v>#NAME?</v>
      </c>
      <c r="AC12" s="759"/>
      <c r="AF12" s="756" t="s">
        <v>549</v>
      </c>
      <c r="AG12" s="757"/>
      <c r="AH12" s="757"/>
      <c r="AI12" s="394" t="s">
        <v>318</v>
      </c>
      <c r="AJ12" s="758" t="e">
        <f>H_ENGINE_SERIAL_NO</f>
        <v>#NAME?</v>
      </c>
      <c r="AK12" s="758"/>
      <c r="AL12" s="391"/>
      <c r="AM12" s="757" t="s">
        <v>550</v>
      </c>
      <c r="AN12" s="757"/>
      <c r="AO12" s="757"/>
      <c r="AP12" s="394" t="s">
        <v>318</v>
      </c>
      <c r="AQ12" s="758" t="e">
        <f>H_ECU_SOFT</f>
        <v>#NAME?</v>
      </c>
      <c r="AR12" s="759"/>
    </row>
    <row r="13" spans="1:44" s="60" customFormat="1" ht="2.1" customHeight="1" x14ac:dyDescent="0.25">
      <c r="A13" s="396"/>
      <c r="B13" s="754" t="s">
        <v>547</v>
      </c>
      <c r="C13" s="755"/>
      <c r="D13" s="755"/>
      <c r="E13" s="755"/>
      <c r="F13" s="390"/>
      <c r="G13" s="390"/>
      <c r="H13" s="391"/>
      <c r="I13" s="755" t="s">
        <v>547</v>
      </c>
      <c r="J13" s="755"/>
      <c r="K13" s="755"/>
      <c r="L13" s="755"/>
      <c r="M13" s="390"/>
      <c r="N13" s="395"/>
      <c r="P13" s="396"/>
      <c r="Q13" s="754" t="s">
        <v>547</v>
      </c>
      <c r="R13" s="755"/>
      <c r="S13" s="755"/>
      <c r="T13" s="755"/>
      <c r="U13" s="390"/>
      <c r="V13" s="390"/>
      <c r="W13" s="391"/>
      <c r="X13" s="755" t="s">
        <v>547</v>
      </c>
      <c r="Y13" s="755"/>
      <c r="Z13" s="755"/>
      <c r="AA13" s="755"/>
      <c r="AB13" s="390"/>
      <c r="AC13" s="395"/>
      <c r="AF13" s="754" t="s">
        <v>547</v>
      </c>
      <c r="AG13" s="755"/>
      <c r="AH13" s="755"/>
      <c r="AI13" s="755"/>
      <c r="AJ13" s="481"/>
      <c r="AK13" s="481"/>
      <c r="AL13" s="391"/>
      <c r="AM13" s="755" t="s">
        <v>547</v>
      </c>
      <c r="AN13" s="755"/>
      <c r="AO13" s="755"/>
      <c r="AP13" s="755"/>
      <c r="AQ13" s="481"/>
      <c r="AR13" s="482"/>
    </row>
    <row r="14" spans="1:44" s="60" customFormat="1" ht="15.95" customHeight="1" thickBot="1" x14ac:dyDescent="0.3">
      <c r="A14" s="397"/>
      <c r="B14" s="760" t="s">
        <v>551</v>
      </c>
      <c r="C14" s="761"/>
      <c r="D14" s="761"/>
      <c r="E14" s="398" t="s">
        <v>318</v>
      </c>
      <c r="F14" s="762" t="e">
        <f>H_TEST_TYPE</f>
        <v>#NAME?</v>
      </c>
      <c r="G14" s="762"/>
      <c r="H14" s="399"/>
      <c r="I14" s="761" t="s">
        <v>552</v>
      </c>
      <c r="J14" s="761"/>
      <c r="K14" s="761"/>
      <c r="L14" s="398" t="s">
        <v>318</v>
      </c>
      <c r="M14" s="762" t="e">
        <f>H_OIL_TYPE</f>
        <v>#NAME?</v>
      </c>
      <c r="N14" s="763"/>
      <c r="P14" s="397"/>
      <c r="Q14" s="760" t="s">
        <v>551</v>
      </c>
      <c r="R14" s="761"/>
      <c r="S14" s="761"/>
      <c r="T14" s="398" t="s">
        <v>318</v>
      </c>
      <c r="U14" s="762" t="e">
        <f>H_TEST_TYPE</f>
        <v>#NAME?</v>
      </c>
      <c r="V14" s="762"/>
      <c r="W14" s="399"/>
      <c r="X14" s="761" t="s">
        <v>552</v>
      </c>
      <c r="Y14" s="761"/>
      <c r="Z14" s="761"/>
      <c r="AA14" s="398" t="s">
        <v>318</v>
      </c>
      <c r="AB14" s="762" t="e">
        <f>H_OIL_TYPE</f>
        <v>#NAME?</v>
      </c>
      <c r="AC14" s="763"/>
      <c r="AF14" s="760" t="s">
        <v>551</v>
      </c>
      <c r="AG14" s="761"/>
      <c r="AH14" s="761"/>
      <c r="AI14" s="398" t="s">
        <v>318</v>
      </c>
      <c r="AJ14" s="762" t="e">
        <f>H_TEST_TYPE</f>
        <v>#NAME?</v>
      </c>
      <c r="AK14" s="762"/>
      <c r="AL14" s="399"/>
      <c r="AM14" s="761" t="s">
        <v>552</v>
      </c>
      <c r="AN14" s="761"/>
      <c r="AO14" s="761"/>
      <c r="AP14" s="398" t="s">
        <v>318</v>
      </c>
      <c r="AQ14" s="762" t="e">
        <f>H_OIL_TYPE</f>
        <v>#NAME?</v>
      </c>
      <c r="AR14" s="763"/>
    </row>
    <row r="15" spans="1:44" s="60" customFormat="1" ht="15" thickTop="1" x14ac:dyDescent="0.2">
      <c r="B15" s="400"/>
      <c r="C15" s="400"/>
      <c r="D15" s="371"/>
      <c r="E15" s="371"/>
      <c r="F15" s="400"/>
      <c r="G15" s="390"/>
      <c r="H15" s="390"/>
      <c r="I15" s="390"/>
      <c r="J15" s="371"/>
      <c r="K15" s="371"/>
      <c r="L15" s="371"/>
      <c r="Q15" s="400"/>
      <c r="R15" s="400"/>
      <c r="S15" s="371"/>
      <c r="T15" s="371"/>
      <c r="U15" s="400"/>
      <c r="V15" s="390"/>
      <c r="W15" s="390"/>
      <c r="X15" s="390"/>
      <c r="Y15" s="371"/>
      <c r="Z15" s="371"/>
      <c r="AA15" s="371"/>
      <c r="AF15" s="400"/>
      <c r="AG15" s="400"/>
      <c r="AH15" s="475"/>
      <c r="AI15" s="475"/>
      <c r="AJ15" s="400"/>
      <c r="AK15" s="481"/>
      <c r="AL15" s="481"/>
      <c r="AM15" s="481"/>
      <c r="AN15" s="475"/>
      <c r="AO15" s="475"/>
      <c r="AP15" s="475"/>
    </row>
    <row r="16" spans="1:44" s="60" customFormat="1" ht="15" thickBot="1" x14ac:dyDescent="0.25">
      <c r="B16" s="400"/>
      <c r="C16" s="400"/>
      <c r="D16" s="371"/>
      <c r="E16" s="371"/>
      <c r="F16" s="400"/>
      <c r="G16" s="390"/>
      <c r="H16" s="390"/>
      <c r="I16" s="390"/>
      <c r="J16" s="371"/>
      <c r="K16" s="371"/>
      <c r="L16" s="371"/>
      <c r="Q16" s="400"/>
      <c r="R16" s="400"/>
      <c r="S16" s="371"/>
      <c r="T16" s="371"/>
      <c r="U16" s="400"/>
      <c r="V16" s="390"/>
      <c r="W16" s="390"/>
      <c r="X16" s="390"/>
      <c r="Y16" s="371"/>
      <c r="Z16" s="371"/>
      <c r="AA16" s="371"/>
      <c r="AF16" s="400"/>
      <c r="AG16" s="400"/>
      <c r="AH16" s="475"/>
      <c r="AI16" s="475"/>
      <c r="AJ16" s="400"/>
      <c r="AK16" s="481"/>
      <c r="AL16" s="481"/>
      <c r="AM16" s="481"/>
      <c r="AN16" s="475"/>
      <c r="AO16" s="475"/>
      <c r="AP16" s="475"/>
    </row>
    <row r="17" spans="2:44" s="60" customFormat="1" ht="15" thickTop="1" x14ac:dyDescent="0.2">
      <c r="B17" s="401"/>
      <c r="C17" s="402"/>
      <c r="D17" s="403"/>
      <c r="E17" s="403"/>
      <c r="F17" s="402"/>
      <c r="G17" s="404"/>
      <c r="H17" s="404"/>
      <c r="I17" s="404"/>
      <c r="J17" s="403"/>
      <c r="K17" s="403"/>
      <c r="L17" s="403"/>
      <c r="M17" s="405"/>
      <c r="N17" s="406"/>
      <c r="Q17" s="401"/>
      <c r="R17" s="402"/>
      <c r="S17" s="403"/>
      <c r="T17" s="403"/>
      <c r="U17" s="402"/>
      <c r="V17" s="404"/>
      <c r="W17" s="404"/>
      <c r="X17" s="404"/>
      <c r="Y17" s="403"/>
      <c r="Z17" s="403"/>
      <c r="AA17" s="403"/>
      <c r="AB17" s="405"/>
      <c r="AC17" s="406"/>
      <c r="AF17" s="401"/>
      <c r="AG17" s="402"/>
      <c r="AH17" s="403"/>
      <c r="AI17" s="403"/>
      <c r="AJ17" s="402"/>
      <c r="AK17" s="483"/>
      <c r="AL17" s="483"/>
      <c r="AM17" s="483"/>
      <c r="AN17" s="403"/>
      <c r="AO17" s="403"/>
      <c r="AP17" s="403"/>
      <c r="AQ17" s="405"/>
      <c r="AR17" s="406"/>
    </row>
    <row r="18" spans="2:44" s="60" customFormat="1" ht="13.5" thickBot="1" x14ac:dyDescent="0.25">
      <c r="B18" s="408"/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10"/>
      <c r="N18" s="411"/>
      <c r="Q18" s="408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10"/>
      <c r="AC18" s="411"/>
      <c r="AF18" s="408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10"/>
      <c r="AR18" s="411"/>
    </row>
    <row r="19" spans="2:44" s="60" customFormat="1" ht="21" thickBot="1" x14ac:dyDescent="0.35">
      <c r="B19" s="412"/>
      <c r="C19" s="743" t="s">
        <v>501</v>
      </c>
      <c r="D19" s="744"/>
      <c r="E19" s="744"/>
      <c r="F19" s="744"/>
      <c r="G19" s="745"/>
      <c r="H19" s="413"/>
      <c r="I19" s="743" t="s">
        <v>493</v>
      </c>
      <c r="J19" s="744"/>
      <c r="K19" s="744"/>
      <c r="L19" s="744"/>
      <c r="M19" s="745"/>
      <c r="N19" s="407"/>
      <c r="Q19" s="412"/>
      <c r="R19" s="743" t="s">
        <v>496</v>
      </c>
      <c r="S19" s="744"/>
      <c r="T19" s="744"/>
      <c r="U19" s="744"/>
      <c r="V19" s="745"/>
      <c r="W19" s="413"/>
      <c r="X19" s="743" t="s">
        <v>497</v>
      </c>
      <c r="Y19" s="744"/>
      <c r="Z19" s="744"/>
      <c r="AA19" s="744"/>
      <c r="AB19" s="745"/>
      <c r="AC19" s="407"/>
      <c r="AF19" s="412"/>
      <c r="AG19" s="743" t="s">
        <v>500</v>
      </c>
      <c r="AH19" s="744"/>
      <c r="AI19" s="744"/>
      <c r="AJ19" s="744"/>
      <c r="AK19" s="745"/>
      <c r="AL19" s="413"/>
      <c r="AM19" s="746"/>
      <c r="AN19" s="746"/>
      <c r="AO19" s="746"/>
      <c r="AP19" s="746"/>
      <c r="AQ19" s="746"/>
      <c r="AR19" s="407"/>
    </row>
    <row r="20" spans="2:44" s="60" customFormat="1" ht="16.5" thickBot="1" x14ac:dyDescent="0.3">
      <c r="B20" s="412"/>
      <c r="C20" s="414" t="s">
        <v>553</v>
      </c>
      <c r="D20" s="747" t="e" cm="1">
        <f t="array" ref="D20" xml:space="preserve"> VLOOKUP(C_Engine_Rating S_Take_Off_B1, enum_list!$A$2:$F$102,3,1)</f>
        <v>#NAME?</v>
      </c>
      <c r="E20" s="747"/>
      <c r="F20" s="747"/>
      <c r="G20" s="748"/>
      <c r="H20" s="413"/>
      <c r="I20" s="414" t="s">
        <v>553</v>
      </c>
      <c r="J20" s="747" t="e" cm="1">
        <f t="array" ref="J20" xml:space="preserve"> VLOOKUP(C_Engine_Rating S_Take_Off_B2, enum_list!$A$2:$F$102,3,1)</f>
        <v>#NAME?</v>
      </c>
      <c r="K20" s="747"/>
      <c r="L20" s="747"/>
      <c r="M20" s="748"/>
      <c r="N20" s="407"/>
      <c r="Q20" s="412"/>
      <c r="R20" s="414" t="s">
        <v>553</v>
      </c>
      <c r="S20" s="747" t="e" cm="1">
        <f t="array" ref="S20" xml:space="preserve"> VLOOKUP(C_Engine_Rating S_Take_Off_B5, enum_list!$A$2:$F$102,3,1)</f>
        <v>#NAME?</v>
      </c>
      <c r="T20" s="747"/>
      <c r="U20" s="747"/>
      <c r="V20" s="748"/>
      <c r="W20" s="413"/>
      <c r="X20" s="414" t="s">
        <v>553</v>
      </c>
      <c r="Y20" s="747" t="e" cm="1">
        <f t="array" ref="Y20" xml:space="preserve"> VLOOKUP(C_Engine_Rating S_Take_Off_B6, enum_list!$A$2:$F$102,3,1)</f>
        <v>#NAME?</v>
      </c>
      <c r="Z20" s="747"/>
      <c r="AA20" s="747"/>
      <c r="AB20" s="748"/>
      <c r="AC20" s="407"/>
      <c r="AF20" s="412"/>
      <c r="AG20" s="414" t="s">
        <v>553</v>
      </c>
      <c r="AH20" s="747" t="e" cm="1">
        <f t="array" ref="AH20" xml:space="preserve"> VLOOKUP(C_Engine_Rating S_Take_Off_B1, enum_list!$A$2:$F$102,3,1)</f>
        <v>#NAME?</v>
      </c>
      <c r="AI20" s="747"/>
      <c r="AJ20" s="747"/>
      <c r="AK20" s="748"/>
      <c r="AL20" s="413"/>
      <c r="AM20" s="484"/>
      <c r="AN20" s="749"/>
      <c r="AO20" s="749"/>
      <c r="AP20" s="749"/>
      <c r="AQ20" s="749"/>
      <c r="AR20" s="407"/>
    </row>
    <row r="21" spans="2:44" s="60" customFormat="1" ht="16.5" thickBot="1" x14ac:dyDescent="0.3">
      <c r="B21" s="415"/>
      <c r="C21" s="416"/>
      <c r="D21" s="750" t="s">
        <v>511</v>
      </c>
      <c r="E21" s="751"/>
      <c r="F21" s="417" t="s">
        <v>512</v>
      </c>
      <c r="G21" s="418"/>
      <c r="I21" s="416"/>
      <c r="J21" s="417" t="s">
        <v>511</v>
      </c>
      <c r="K21" s="417" t="s">
        <v>512</v>
      </c>
      <c r="L21" s="750"/>
      <c r="M21" s="751"/>
      <c r="N21" s="419"/>
      <c r="O21" s="420"/>
      <c r="Q21" s="415"/>
      <c r="R21" s="416"/>
      <c r="S21" s="750" t="s">
        <v>511</v>
      </c>
      <c r="T21" s="751"/>
      <c r="U21" s="417" t="s">
        <v>512</v>
      </c>
      <c r="V21" s="418"/>
      <c r="X21" s="416"/>
      <c r="Y21" s="417" t="s">
        <v>511</v>
      </c>
      <c r="Z21" s="417" t="s">
        <v>512</v>
      </c>
      <c r="AA21" s="750"/>
      <c r="AB21" s="751"/>
      <c r="AC21" s="419"/>
      <c r="AD21" s="420"/>
      <c r="AF21" s="415"/>
      <c r="AG21" s="416"/>
      <c r="AH21" s="750" t="s">
        <v>511</v>
      </c>
      <c r="AI21" s="751"/>
      <c r="AJ21" s="417" t="s">
        <v>512</v>
      </c>
      <c r="AK21" s="418"/>
      <c r="AM21" s="485"/>
      <c r="AN21" s="486"/>
      <c r="AO21" s="486"/>
      <c r="AP21" s="740"/>
      <c r="AQ21" s="740"/>
      <c r="AR21" s="419"/>
    </row>
    <row r="22" spans="2:44" s="60" customFormat="1" ht="15" x14ac:dyDescent="0.2">
      <c r="B22" s="415"/>
      <c r="C22" s="421" t="s">
        <v>29</v>
      </c>
      <c r="D22" s="752" t="e" cm="1">
        <f t="array" ref="D22">C_N1 S_Take_Off_B1</f>
        <v>#NAME?</v>
      </c>
      <c r="E22" s="752"/>
      <c r="F22" s="422" t="e" cm="1">
        <f t="array" ref="F22">C_N1 S_MAX_CONT_B1</f>
        <v>#NAME?</v>
      </c>
      <c r="G22" s="423" t="s">
        <v>331</v>
      </c>
      <c r="I22" s="421" t="s">
        <v>29</v>
      </c>
      <c r="J22" s="422" t="e" cm="1">
        <f t="array" ref="J22">C_N1 S_Take_Off_B2</f>
        <v>#NAME?</v>
      </c>
      <c r="K22" s="422" t="e" cm="1">
        <f t="array" ref="K22">C_N1 S_MAX_CONT_B2</f>
        <v>#NAME?</v>
      </c>
      <c r="L22" s="784" t="s">
        <v>331</v>
      </c>
      <c r="M22" s="785"/>
      <c r="N22" s="407"/>
      <c r="Q22" s="415"/>
      <c r="R22" s="421" t="s">
        <v>29</v>
      </c>
      <c r="S22" s="752" t="e" cm="1">
        <f t="array" ref="S22">C_N1 S_Take_Off_B5</f>
        <v>#NAME?</v>
      </c>
      <c r="T22" s="752"/>
      <c r="U22" s="422" t="e" cm="1">
        <f t="array" ref="U22">C_N1 S_MAX_CONT_B5</f>
        <v>#NAME?</v>
      </c>
      <c r="V22" s="423" t="s">
        <v>331</v>
      </c>
      <c r="X22" s="421" t="s">
        <v>29</v>
      </c>
      <c r="Y22" s="422" t="e" cm="1">
        <f t="array" ref="Y22">C_N1 S_Take_Off_B6</f>
        <v>#NAME?</v>
      </c>
      <c r="Z22" s="422" t="e" cm="1">
        <f t="array" ref="Z22">C_N1 S_MAX_CONT_B6</f>
        <v>#NAME?</v>
      </c>
      <c r="AA22" s="784" t="s">
        <v>331</v>
      </c>
      <c r="AB22" s="785"/>
      <c r="AC22" s="407"/>
      <c r="AF22" s="415"/>
      <c r="AG22" s="421" t="s">
        <v>29</v>
      </c>
      <c r="AH22" s="752" t="e" cm="1">
        <f t="array" ref="AH22">C_N1 S_Take_Off_B9</f>
        <v>#NAME?</v>
      </c>
      <c r="AI22" s="752"/>
      <c r="AJ22" s="480" t="e" cm="1">
        <f t="array" ref="AJ22">C_N1 S_MAX_CONT_B9</f>
        <v>#NAME?</v>
      </c>
      <c r="AK22" s="423" t="s">
        <v>331</v>
      </c>
      <c r="AM22" s="487"/>
      <c r="AN22" s="488"/>
      <c r="AO22" s="488"/>
      <c r="AP22" s="753"/>
      <c r="AQ22" s="753"/>
      <c r="AR22" s="407"/>
    </row>
    <row r="23" spans="2:44" s="60" customFormat="1" ht="15" x14ac:dyDescent="0.2">
      <c r="B23" s="415"/>
      <c r="C23" s="424" t="s">
        <v>33</v>
      </c>
      <c r="D23" s="742" t="e" cm="1">
        <f t="array" ref="D23">C_N2 S_Take_Off_B1</f>
        <v>#NAME?</v>
      </c>
      <c r="E23" s="742"/>
      <c r="F23" s="425" t="e" cm="1">
        <f t="array" ref="F23">C_N2 S_MAX_CONT_B1</f>
        <v>#NAME?</v>
      </c>
      <c r="G23" s="426" t="s">
        <v>331</v>
      </c>
      <c r="I23" s="424" t="s">
        <v>33</v>
      </c>
      <c r="J23" s="425" t="e" cm="1">
        <f t="array" ref="J23">C_N2 S_Take_Off_B2</f>
        <v>#NAME?</v>
      </c>
      <c r="K23" s="425" t="e" cm="1">
        <f t="array" ref="K23">C_N2 S_MAX_CONT_B2</f>
        <v>#NAME?</v>
      </c>
      <c r="L23" s="782" t="s">
        <v>331</v>
      </c>
      <c r="M23" s="783"/>
      <c r="N23" s="407"/>
      <c r="Q23" s="415"/>
      <c r="R23" s="424" t="s">
        <v>33</v>
      </c>
      <c r="S23" s="742" t="e" cm="1">
        <f t="array" ref="S23">C_N2 S_Take_Off_B5</f>
        <v>#NAME?</v>
      </c>
      <c r="T23" s="742"/>
      <c r="U23" s="425" t="e" cm="1">
        <f t="array" ref="U23">C_N2 S_MAX_CONT_B5</f>
        <v>#NAME?</v>
      </c>
      <c r="V23" s="426" t="s">
        <v>331</v>
      </c>
      <c r="X23" s="424" t="s">
        <v>33</v>
      </c>
      <c r="Y23" s="425" t="e" cm="1">
        <f t="array" ref="Y23">C_N2 S_Take_Off_B6</f>
        <v>#NAME?</v>
      </c>
      <c r="Z23" s="425" t="e" cm="1">
        <f t="array" ref="Z23">C_N2 S_MAX_CONT_B6</f>
        <v>#NAME?</v>
      </c>
      <c r="AA23" s="782" t="s">
        <v>331</v>
      </c>
      <c r="AB23" s="783"/>
      <c r="AC23" s="407"/>
      <c r="AF23" s="415"/>
      <c r="AG23" s="424" t="s">
        <v>33</v>
      </c>
      <c r="AH23" s="742" t="e" cm="1">
        <f t="array" ref="AH23">C_N2 S_Take_Off_B9</f>
        <v>#NAME?</v>
      </c>
      <c r="AI23" s="742"/>
      <c r="AJ23" s="478" t="e" cm="1">
        <f t="array" ref="AJ23">C_N2 S_MAX_CONT_B9</f>
        <v>#NAME?</v>
      </c>
      <c r="AK23" s="426" t="s">
        <v>331</v>
      </c>
      <c r="AM23" s="485"/>
      <c r="AN23" s="485"/>
      <c r="AO23" s="485"/>
      <c r="AP23" s="485"/>
      <c r="AQ23" s="485"/>
      <c r="AR23" s="407"/>
    </row>
    <row r="24" spans="2:44" s="60" customFormat="1" ht="15" x14ac:dyDescent="0.2">
      <c r="B24" s="415"/>
      <c r="C24" s="424" t="s">
        <v>246</v>
      </c>
      <c r="D24" s="741" t="e" cm="1">
        <f t="array" ref="D24">C_T495_SEL_A S_Take_Off_B1</f>
        <v>#NAME?</v>
      </c>
      <c r="E24" s="741"/>
      <c r="F24" s="427" t="e" cm="1">
        <f t="array" ref="F24">C_T495_SEL_A S_MAX_CONT_B1</f>
        <v>#NAME?</v>
      </c>
      <c r="G24" s="426" t="s">
        <v>333</v>
      </c>
      <c r="I24" s="424" t="s">
        <v>246</v>
      </c>
      <c r="J24" s="427" t="e" cm="1">
        <f t="array" ref="J24">C_T495_SEL_A S_Take_Off_B2</f>
        <v>#NAME?</v>
      </c>
      <c r="K24" s="427" t="e" cm="1">
        <f t="array" ref="K24">C_T495_SEL_A S_MAX_CONT_B2</f>
        <v>#NAME?</v>
      </c>
      <c r="L24" s="782" t="s">
        <v>333</v>
      </c>
      <c r="M24" s="783"/>
      <c r="N24" s="407"/>
      <c r="Q24" s="415"/>
      <c r="R24" s="424" t="s">
        <v>246</v>
      </c>
      <c r="S24" s="741" t="e" cm="1">
        <f t="array" ref="S24">C_T495_SEL_A S_Take_Off_B5</f>
        <v>#NAME?</v>
      </c>
      <c r="T24" s="741"/>
      <c r="U24" s="427" t="e" cm="1">
        <f t="array" ref="U24">C_T495_SEL_A S_MAX_CONT_B5</f>
        <v>#NAME?</v>
      </c>
      <c r="V24" s="426" t="s">
        <v>333</v>
      </c>
      <c r="X24" s="424" t="s">
        <v>246</v>
      </c>
      <c r="Y24" s="427" t="e" cm="1">
        <f t="array" ref="Y24">C_T495_SEL_A S_Take_Off_B6</f>
        <v>#NAME?</v>
      </c>
      <c r="Z24" s="427" t="e" cm="1">
        <f t="array" ref="Z24">C_T495_SEL_A S_MAX_CONT_B6</f>
        <v>#NAME?</v>
      </c>
      <c r="AA24" s="782" t="s">
        <v>333</v>
      </c>
      <c r="AB24" s="783"/>
      <c r="AC24" s="407"/>
      <c r="AF24" s="415"/>
      <c r="AG24" s="424" t="s">
        <v>246</v>
      </c>
      <c r="AH24" s="741" t="e" cm="1">
        <f t="array" ref="AH24">C_T495_SEL_A S_Take_Off_B9</f>
        <v>#NAME?</v>
      </c>
      <c r="AI24" s="741"/>
      <c r="AJ24" s="479" t="e" cm="1">
        <f t="array" ref="AJ24">C_T495_SEL_A S_MAX_CONT_B9</f>
        <v>#NAME?</v>
      </c>
      <c r="AK24" s="426" t="s">
        <v>333</v>
      </c>
      <c r="AM24" s="485"/>
      <c r="AN24" s="485"/>
      <c r="AO24" s="485"/>
      <c r="AP24" s="485"/>
      <c r="AQ24" s="485"/>
      <c r="AR24" s="407"/>
    </row>
    <row r="25" spans="2:44" s="60" customFormat="1" ht="15" x14ac:dyDescent="0.2">
      <c r="B25" s="415"/>
      <c r="C25" s="428" t="s">
        <v>554</v>
      </c>
      <c r="D25" s="742" t="e" cm="1">
        <f t="array" ref="D25">C_FNnet S_Take_Off_B1</f>
        <v>#NAME?</v>
      </c>
      <c r="E25" s="742"/>
      <c r="F25" s="425" t="e" cm="1">
        <f t="array" ref="F25">C_FNnet S_MAX_CONT_B1</f>
        <v>#NAME?</v>
      </c>
      <c r="G25" s="426" t="s">
        <v>555</v>
      </c>
      <c r="I25" s="428" t="s">
        <v>554</v>
      </c>
      <c r="J25" s="425" t="e" cm="1">
        <f t="array" ref="J25">C_FNnet S_Take_Off_B2</f>
        <v>#NAME?</v>
      </c>
      <c r="K25" s="425" t="e" cm="1">
        <f t="array" ref="K25">C_FNnet S_MAX_CONT_B2</f>
        <v>#NAME?</v>
      </c>
      <c r="L25" s="782" t="s">
        <v>555</v>
      </c>
      <c r="M25" s="783"/>
      <c r="N25" s="407"/>
      <c r="Q25" s="415"/>
      <c r="R25" s="428" t="s">
        <v>554</v>
      </c>
      <c r="S25" s="742" t="e" cm="1">
        <f t="array" ref="S25">C_FNnet S_Take_Off_B5</f>
        <v>#NAME?</v>
      </c>
      <c r="T25" s="742"/>
      <c r="U25" s="425" t="e" cm="1">
        <f t="array" ref="U25">C_FNnet S_MAX_CONT_B5</f>
        <v>#NAME?</v>
      </c>
      <c r="V25" s="426" t="s">
        <v>555</v>
      </c>
      <c r="X25" s="428" t="s">
        <v>554</v>
      </c>
      <c r="Y25" s="425" t="e" cm="1">
        <f t="array" ref="Y25">C_FNnet S_Take_Off_B6</f>
        <v>#NAME?</v>
      </c>
      <c r="Z25" s="425" t="e" cm="1">
        <f t="array" ref="Z25">C_FNnet S_MAX_CONT_B6</f>
        <v>#NAME?</v>
      </c>
      <c r="AA25" s="782" t="s">
        <v>555</v>
      </c>
      <c r="AB25" s="783"/>
      <c r="AC25" s="407"/>
      <c r="AF25" s="415"/>
      <c r="AG25" s="428" t="s">
        <v>554</v>
      </c>
      <c r="AH25" s="742" t="e" cm="1">
        <f t="array" ref="AH25">C_FNnet S_Take_Off_B9</f>
        <v>#NAME?</v>
      </c>
      <c r="AI25" s="742"/>
      <c r="AJ25" s="478" t="e" cm="1">
        <f t="array" ref="AJ25">C_FNnet S_MAX_CONT_B9</f>
        <v>#NAME?</v>
      </c>
      <c r="AK25" s="426" t="s">
        <v>555</v>
      </c>
      <c r="AM25" s="485"/>
      <c r="AN25" s="485"/>
      <c r="AO25" s="485"/>
      <c r="AP25" s="485"/>
      <c r="AQ25" s="485"/>
      <c r="AR25" s="407"/>
    </row>
    <row r="26" spans="2:44" s="60" customFormat="1" ht="15" x14ac:dyDescent="0.2">
      <c r="B26" s="415"/>
      <c r="C26" s="428" t="s">
        <v>75</v>
      </c>
      <c r="D26" s="742" t="e" cm="1">
        <f t="array" ref="D26">C_WF1 S_Take_Off_B1</f>
        <v>#NAME?</v>
      </c>
      <c r="E26" s="742"/>
      <c r="F26" s="425" t="e" cm="1">
        <f t="array" ref="F26">C_WF1 S_MAX_CONT_B1</f>
        <v>#NAME?</v>
      </c>
      <c r="G26" s="429" t="s">
        <v>358</v>
      </c>
      <c r="I26" s="428" t="s">
        <v>75</v>
      </c>
      <c r="J26" s="425" t="e" cm="1">
        <f t="array" ref="J26">C_WF1 S_Take_Off_B2</f>
        <v>#NAME?</v>
      </c>
      <c r="K26" s="425" t="e" cm="1">
        <f t="array" ref="K26">C_WF1 S_MAX_CONT_B2</f>
        <v>#NAME?</v>
      </c>
      <c r="L26" s="780" t="s">
        <v>358</v>
      </c>
      <c r="M26" s="781"/>
      <c r="N26" s="407"/>
      <c r="Q26" s="415"/>
      <c r="R26" s="428" t="s">
        <v>75</v>
      </c>
      <c r="S26" s="742" t="e" cm="1">
        <f t="array" ref="S26">C_WF1 S_Take_Off_B5</f>
        <v>#NAME?</v>
      </c>
      <c r="T26" s="742"/>
      <c r="U26" s="425" t="e" cm="1">
        <f t="array" ref="U26">C_WF1 S_MAX_CONT_B5</f>
        <v>#NAME?</v>
      </c>
      <c r="V26" s="429" t="s">
        <v>358</v>
      </c>
      <c r="X26" s="428" t="s">
        <v>75</v>
      </c>
      <c r="Y26" s="425" t="e" cm="1">
        <f t="array" ref="Y26">C_WF1 S_Take_Off_B6</f>
        <v>#NAME?</v>
      </c>
      <c r="Z26" s="425" t="e" cm="1">
        <f t="array" ref="Z26">C_WF1 S_MAX_CONT_B6</f>
        <v>#NAME?</v>
      </c>
      <c r="AA26" s="780" t="s">
        <v>358</v>
      </c>
      <c r="AB26" s="781"/>
      <c r="AC26" s="407"/>
      <c r="AF26" s="415"/>
      <c r="AG26" s="428" t="s">
        <v>75</v>
      </c>
      <c r="AH26" s="742" t="e" cm="1">
        <f t="array" ref="AH26">C_WF1 S_Take_Off_B9</f>
        <v>#NAME?</v>
      </c>
      <c r="AI26" s="742"/>
      <c r="AJ26" s="478" t="e" cm="1">
        <f t="array" ref="AJ26">C_WF1 S_MAX_CONT_B9</f>
        <v>#NAME?</v>
      </c>
      <c r="AK26" s="429" t="s">
        <v>358</v>
      </c>
      <c r="AM26" s="485"/>
      <c r="AN26" s="485"/>
      <c r="AO26" s="485"/>
      <c r="AP26" s="485"/>
      <c r="AQ26" s="485"/>
      <c r="AR26" s="407"/>
    </row>
    <row r="27" spans="2:44" s="60" customFormat="1" ht="15" x14ac:dyDescent="0.2">
      <c r="B27" s="415"/>
      <c r="C27" s="428" t="s">
        <v>556</v>
      </c>
      <c r="D27" s="741" t="e" cm="1">
        <f t="array" ref="D27">C_T_Cell S_Take_Off_B1</f>
        <v>#NAME?</v>
      </c>
      <c r="E27" s="741"/>
      <c r="F27" s="427" t="e" cm="1">
        <f t="array" ref="F27">C_T_Cell S_MAX_CONT_B1</f>
        <v>#NAME?</v>
      </c>
      <c r="G27" s="426" t="s">
        <v>333</v>
      </c>
      <c r="I27" s="428" t="s">
        <v>556</v>
      </c>
      <c r="J27" s="427" t="e" cm="1">
        <f t="array" ref="J27">C_T_Cell S_Take_Off_B2</f>
        <v>#NAME?</v>
      </c>
      <c r="K27" s="427" t="e" cm="1">
        <f t="array" ref="K27">C_T_Cell S_MAX_CONT_B2</f>
        <v>#NAME?</v>
      </c>
      <c r="L27" s="782" t="s">
        <v>333</v>
      </c>
      <c r="M27" s="783"/>
      <c r="N27" s="407"/>
      <c r="Q27" s="415"/>
      <c r="R27" s="428" t="s">
        <v>556</v>
      </c>
      <c r="S27" s="741" t="e" cm="1">
        <f t="array" ref="S27">C_TT2 S_Take_Off_B5</f>
        <v>#NAME?</v>
      </c>
      <c r="T27" s="741"/>
      <c r="U27" s="427" t="e" cm="1">
        <f t="array" ref="U27">C_T_Cell S_MAX_CONT_B5</f>
        <v>#NAME?</v>
      </c>
      <c r="V27" s="426" t="s">
        <v>333</v>
      </c>
      <c r="X27" s="428" t="s">
        <v>556</v>
      </c>
      <c r="Y27" s="427" t="e" cm="1">
        <f t="array" ref="Y27">C_T_Cell S_Take_Off_B6</f>
        <v>#NAME?</v>
      </c>
      <c r="Z27" s="427" t="e" cm="1">
        <f t="array" ref="Z27">C_T_Cell S_MAX_CONT_B6</f>
        <v>#NAME?</v>
      </c>
      <c r="AA27" s="782" t="s">
        <v>333</v>
      </c>
      <c r="AB27" s="783"/>
      <c r="AC27" s="407"/>
      <c r="AF27" s="415"/>
      <c r="AG27" s="428" t="s">
        <v>556</v>
      </c>
      <c r="AH27" s="741" t="e" cm="1">
        <f t="array" ref="AH27">C_T_Cell S_Take_Off_B9</f>
        <v>#NAME?</v>
      </c>
      <c r="AI27" s="741"/>
      <c r="AJ27" s="479" t="e" cm="1">
        <f t="array" ref="AJ27">C_T_Cell S_MAX_CONT_B9</f>
        <v>#NAME?</v>
      </c>
      <c r="AK27" s="426" t="s">
        <v>333</v>
      </c>
      <c r="AM27" s="485"/>
      <c r="AN27" s="485"/>
      <c r="AO27" s="485"/>
      <c r="AP27" s="485"/>
      <c r="AQ27" s="485"/>
      <c r="AR27" s="407"/>
    </row>
    <row r="28" spans="2:44" s="60" customFormat="1" ht="15" x14ac:dyDescent="0.2">
      <c r="B28" s="415"/>
      <c r="C28" s="428" t="s">
        <v>62</v>
      </c>
      <c r="D28" s="741" t="e" cm="1">
        <f t="array" ref="D28">C_RHUM S_Take_Off_B1</f>
        <v>#NAME?</v>
      </c>
      <c r="E28" s="741"/>
      <c r="F28" s="427" t="e" cm="1">
        <f t="array" ref="F28">C_RHUM S_MAX_CONT_B1</f>
        <v>#NAME?</v>
      </c>
      <c r="G28" s="429" t="s">
        <v>3</v>
      </c>
      <c r="I28" s="428" t="s">
        <v>62</v>
      </c>
      <c r="J28" s="427" t="e" cm="1">
        <f t="array" ref="J28">C_RHUM S_Take_Off_B2</f>
        <v>#NAME?</v>
      </c>
      <c r="K28" s="427" t="e" cm="1">
        <f t="array" ref="K28">C_RHUM S_MAX_CONT_B2</f>
        <v>#NAME?</v>
      </c>
      <c r="L28" s="780" t="s">
        <v>3</v>
      </c>
      <c r="M28" s="781"/>
      <c r="N28" s="407"/>
      <c r="Q28" s="415"/>
      <c r="R28" s="428" t="s">
        <v>62</v>
      </c>
      <c r="S28" s="741" t="e" cm="1">
        <f t="array" ref="S28">C_RHUM S_Take_Off_B5</f>
        <v>#NAME?</v>
      </c>
      <c r="T28" s="741"/>
      <c r="U28" s="427" t="e" cm="1">
        <f t="array" ref="U28">C_RHUM S_MAX_CONT_B5</f>
        <v>#NAME?</v>
      </c>
      <c r="V28" s="429" t="s">
        <v>3</v>
      </c>
      <c r="X28" s="428" t="s">
        <v>62</v>
      </c>
      <c r="Y28" s="427" t="e" cm="1">
        <f t="array" ref="Y28">C_RHUM S_Take_Off_B6</f>
        <v>#NAME?</v>
      </c>
      <c r="Z28" s="427" t="e" cm="1">
        <f t="array" ref="Z28">C_RHUM S_MAX_CONT_B6</f>
        <v>#NAME?</v>
      </c>
      <c r="AA28" s="780" t="s">
        <v>3</v>
      </c>
      <c r="AB28" s="781"/>
      <c r="AC28" s="407"/>
      <c r="AF28" s="415"/>
      <c r="AG28" s="428" t="s">
        <v>62</v>
      </c>
      <c r="AH28" s="741" t="e" cm="1">
        <f t="array" ref="AH28">C_RHUM S_Take_Off_B9</f>
        <v>#NAME?</v>
      </c>
      <c r="AI28" s="741"/>
      <c r="AJ28" s="479" t="e" cm="1">
        <f t="array" ref="AJ28">C_RHUM S_MAX_CONT_B9</f>
        <v>#NAME?</v>
      </c>
      <c r="AK28" s="429" t="s">
        <v>3</v>
      </c>
      <c r="AM28" s="485"/>
      <c r="AN28" s="485"/>
      <c r="AO28" s="485"/>
      <c r="AP28" s="485"/>
      <c r="AQ28" s="485"/>
      <c r="AR28" s="407"/>
    </row>
    <row r="29" spans="2:44" s="60" customFormat="1" ht="15" x14ac:dyDescent="0.2">
      <c r="B29" s="415"/>
      <c r="C29" s="428" t="s">
        <v>21</v>
      </c>
      <c r="D29" s="741" t="e" cm="1">
        <f t="array" ref="D29">C_HUM S_Take_Off_B1</f>
        <v>#NAME?</v>
      </c>
      <c r="E29" s="741"/>
      <c r="F29" s="427" t="e" cm="1">
        <f t="array" ref="F29">C_HUM S_MAX_CONT_B1</f>
        <v>#NAME?</v>
      </c>
      <c r="G29" s="429" t="s">
        <v>370</v>
      </c>
      <c r="I29" s="428" t="s">
        <v>21</v>
      </c>
      <c r="J29" s="427" t="e" cm="1">
        <f t="array" ref="J29">C_HUM S_Take_Off_B2</f>
        <v>#NAME?</v>
      </c>
      <c r="K29" s="427" t="e" cm="1">
        <f t="array" ref="K29">C_HUM S_MAX_CONT_B2</f>
        <v>#NAME?</v>
      </c>
      <c r="L29" s="780" t="s">
        <v>370</v>
      </c>
      <c r="M29" s="781"/>
      <c r="N29" s="407"/>
      <c r="Q29" s="415"/>
      <c r="R29" s="428" t="s">
        <v>21</v>
      </c>
      <c r="S29" s="741" t="e" cm="1">
        <f t="array" ref="S29">C_HUM S_Take_Off_B5</f>
        <v>#NAME?</v>
      </c>
      <c r="T29" s="741"/>
      <c r="U29" s="427" t="e" cm="1">
        <f t="array" ref="U29">C_HUM S_MAX_CONT_B5</f>
        <v>#NAME?</v>
      </c>
      <c r="V29" s="429" t="s">
        <v>370</v>
      </c>
      <c r="X29" s="428" t="s">
        <v>21</v>
      </c>
      <c r="Y29" s="427" t="e" cm="1">
        <f t="array" ref="Y29">C_HUM S_Take_Off_B6</f>
        <v>#NAME?</v>
      </c>
      <c r="Z29" s="427" t="e" cm="1">
        <f t="array" ref="Z29">C_HUM S_MAX_CONT_B6</f>
        <v>#NAME?</v>
      </c>
      <c r="AA29" s="780" t="s">
        <v>370</v>
      </c>
      <c r="AB29" s="781"/>
      <c r="AC29" s="407"/>
      <c r="AF29" s="415"/>
      <c r="AG29" s="428" t="s">
        <v>21</v>
      </c>
      <c r="AH29" s="741" t="e" cm="1">
        <f t="array" ref="AH29">C_HUM S_Take_Off_B9</f>
        <v>#NAME?</v>
      </c>
      <c r="AI29" s="741"/>
      <c r="AJ29" s="479" t="e" cm="1">
        <f t="array" ref="AJ29">C_HUM S_MAX_CONT_B9</f>
        <v>#NAME?</v>
      </c>
      <c r="AK29" s="429" t="s">
        <v>370</v>
      </c>
      <c r="AM29" s="485"/>
      <c r="AN29" s="485"/>
      <c r="AO29" s="485"/>
      <c r="AP29" s="485"/>
      <c r="AQ29" s="485"/>
      <c r="AR29" s="407"/>
    </row>
    <row r="30" spans="2:44" s="60" customFormat="1" ht="15" x14ac:dyDescent="0.2">
      <c r="B30" s="415"/>
      <c r="C30" s="428" t="s">
        <v>46</v>
      </c>
      <c r="D30" s="738" t="e" cm="1">
        <f t="array" ref="D30">C_PAMB1 S_Take_Off_B1</f>
        <v>#NAME?</v>
      </c>
      <c r="E30" s="738"/>
      <c r="F30" s="430" t="e" cm="1">
        <f t="array" ref="F30">C_PAMB1 S_MAX_CONT_B1</f>
        <v>#NAME?</v>
      </c>
      <c r="G30" s="429" t="s">
        <v>380</v>
      </c>
      <c r="I30" s="428" t="s">
        <v>46</v>
      </c>
      <c r="J30" s="430" t="e" cm="1">
        <f t="array" ref="J30">C_PAMB1 S_Take_Off_B2</f>
        <v>#NAME?</v>
      </c>
      <c r="K30" s="430" t="e" cm="1">
        <f t="array" ref="K30">C_PAMB1 S_MAX_CONT_B2</f>
        <v>#NAME?</v>
      </c>
      <c r="L30" s="780" t="s">
        <v>380</v>
      </c>
      <c r="M30" s="781"/>
      <c r="N30" s="407"/>
      <c r="Q30" s="415"/>
      <c r="R30" s="428" t="s">
        <v>46</v>
      </c>
      <c r="S30" s="738" t="e" cm="1">
        <f t="array" ref="S30">C_PAMB1 S_Take_Off_B5</f>
        <v>#NAME?</v>
      </c>
      <c r="T30" s="738"/>
      <c r="U30" s="430" t="e" cm="1">
        <f t="array" ref="U30">C_PAMB1 S_MAX_CONT_B5</f>
        <v>#NAME?</v>
      </c>
      <c r="V30" s="429" t="s">
        <v>380</v>
      </c>
      <c r="X30" s="428" t="s">
        <v>46</v>
      </c>
      <c r="Y30" s="430" t="e" cm="1">
        <f t="array" ref="Y30">C_PAMB1 S_Take_Off_B6</f>
        <v>#NAME?</v>
      </c>
      <c r="Z30" s="430" t="e" cm="1">
        <f t="array" ref="Z30">C_PAMB1 S_MAX_CONT_B6</f>
        <v>#NAME?</v>
      </c>
      <c r="AA30" s="780" t="s">
        <v>380</v>
      </c>
      <c r="AB30" s="781"/>
      <c r="AC30" s="407"/>
      <c r="AF30" s="415"/>
      <c r="AG30" s="428" t="s">
        <v>46</v>
      </c>
      <c r="AH30" s="738" t="e" cm="1">
        <f t="array" ref="AH30">C_PAMB1 S_Take_Off_B9</f>
        <v>#NAME?</v>
      </c>
      <c r="AI30" s="738"/>
      <c r="AJ30" s="477" t="e" cm="1">
        <f t="array" ref="AJ30">C_PAMB1 S_MAX_CONT_B9</f>
        <v>#NAME?</v>
      </c>
      <c r="AK30" s="429" t="s">
        <v>380</v>
      </c>
      <c r="AM30" s="485"/>
      <c r="AN30" s="485"/>
      <c r="AO30" s="485"/>
      <c r="AP30" s="485"/>
      <c r="AQ30" s="485"/>
      <c r="AR30" s="407"/>
    </row>
    <row r="31" spans="2:44" s="60" customFormat="1" ht="15" x14ac:dyDescent="0.2">
      <c r="B31" s="415"/>
      <c r="C31" s="428" t="s">
        <v>559</v>
      </c>
      <c r="D31" s="738" t="e" cm="1">
        <f t="array" ref="D31">C_PT2_ECU_A S_Take_Off_B1</f>
        <v>#NAME?</v>
      </c>
      <c r="E31" s="738"/>
      <c r="F31" s="430" t="e" cm="1">
        <f t="array" ref="F31">C_PT2_ECU_A S_MAX_CONT_B1</f>
        <v>#NAME?</v>
      </c>
      <c r="G31" s="429" t="s">
        <v>380</v>
      </c>
      <c r="I31" s="428" t="s">
        <v>559</v>
      </c>
      <c r="J31" s="430" t="e" cm="1">
        <f t="array" ref="J31">C_PT2_ECU_A S_Take_Off_B2</f>
        <v>#NAME?</v>
      </c>
      <c r="K31" s="430" t="e" cm="1">
        <f t="array" ref="K31">C_PT2_ECU_A S_MAX_CONT_B2</f>
        <v>#NAME?</v>
      </c>
      <c r="L31" s="780" t="s">
        <v>380</v>
      </c>
      <c r="M31" s="781"/>
      <c r="N31" s="407"/>
      <c r="Q31" s="415"/>
      <c r="R31" s="428" t="s">
        <v>559</v>
      </c>
      <c r="S31" s="738" t="e" cm="1">
        <f t="array" ref="S31">C_PT2_ECU_A S_Take_Off_B5</f>
        <v>#NAME?</v>
      </c>
      <c r="T31" s="738"/>
      <c r="U31" s="430" t="e" cm="1">
        <f t="array" ref="U31">C_PT2_ECU_A S_MAX_CONT_B5</f>
        <v>#NAME?</v>
      </c>
      <c r="V31" s="429" t="s">
        <v>380</v>
      </c>
      <c r="X31" s="428" t="s">
        <v>559</v>
      </c>
      <c r="Y31" s="430" t="e" cm="1">
        <f t="array" ref="Y31">C_PT2_ECU_A S_Take_Off_B6</f>
        <v>#NAME?</v>
      </c>
      <c r="Z31" s="430" t="e" cm="1">
        <f t="array" ref="Z31">C_PT2_ECU_A S_MAX_CONT_B6</f>
        <v>#NAME?</v>
      </c>
      <c r="AA31" s="780" t="s">
        <v>380</v>
      </c>
      <c r="AB31" s="781"/>
      <c r="AC31" s="407"/>
      <c r="AF31" s="415"/>
      <c r="AG31" s="428" t="s">
        <v>559</v>
      </c>
      <c r="AH31" s="738" t="e" cm="1">
        <f t="array" ref="AH31">C_PT2_ECU_A S_Take_Off_B9</f>
        <v>#NAME?</v>
      </c>
      <c r="AI31" s="738"/>
      <c r="AJ31" s="477" t="e" cm="1">
        <f t="array" ref="AJ31">C_PT2_ECU_A S_MAX_CONT_B9</f>
        <v>#NAME?</v>
      </c>
      <c r="AK31" s="429" t="s">
        <v>380</v>
      </c>
      <c r="AM31" s="485"/>
      <c r="AN31" s="485"/>
      <c r="AO31" s="485"/>
      <c r="AP31" s="485"/>
      <c r="AQ31" s="485"/>
      <c r="AR31" s="407"/>
    </row>
    <row r="32" spans="2:44" s="60" customFormat="1" ht="15" x14ac:dyDescent="0.2">
      <c r="B32" s="415"/>
      <c r="C32" s="428" t="s">
        <v>50</v>
      </c>
      <c r="D32" s="738" t="e" cm="1">
        <f t="array" ref="D32">C_PS2W S_Take_Off_B1</f>
        <v>#NAME?</v>
      </c>
      <c r="E32" s="738"/>
      <c r="F32" s="430" t="e" cm="1">
        <f t="array" ref="F32">C_PS2W S_MAX_CONT_B1</f>
        <v>#NAME?</v>
      </c>
      <c r="G32" s="429" t="s">
        <v>380</v>
      </c>
      <c r="I32" s="428" t="s">
        <v>50</v>
      </c>
      <c r="J32" s="430" t="e" cm="1">
        <f t="array" ref="J32">C_PS2W S_Take_Off_B2</f>
        <v>#NAME?</v>
      </c>
      <c r="K32" s="430" t="e" cm="1">
        <f t="array" ref="K32">C_PS2W S_MAX_CONT_B2</f>
        <v>#NAME?</v>
      </c>
      <c r="L32" s="780" t="s">
        <v>380</v>
      </c>
      <c r="M32" s="781"/>
      <c r="N32" s="407"/>
      <c r="Q32" s="415"/>
      <c r="R32" s="428" t="s">
        <v>50</v>
      </c>
      <c r="S32" s="738" t="e" cm="1">
        <f t="array" ref="S32">C_PS2W S_Take_Off_B5</f>
        <v>#NAME?</v>
      </c>
      <c r="T32" s="738"/>
      <c r="U32" s="430" t="e" cm="1">
        <f t="array" ref="U32">C_PS2W S_MAX_CONT_B5</f>
        <v>#NAME?</v>
      </c>
      <c r="V32" s="429" t="s">
        <v>380</v>
      </c>
      <c r="X32" s="428" t="s">
        <v>50</v>
      </c>
      <c r="Y32" s="430" t="e" cm="1">
        <f t="array" ref="Y32">C_PS2W S_Take_Off_B6</f>
        <v>#NAME?</v>
      </c>
      <c r="Z32" s="430" t="e" cm="1">
        <f t="array" ref="Z32">C_PS2W S_MAX_CONT_B6</f>
        <v>#NAME?</v>
      </c>
      <c r="AA32" s="780" t="s">
        <v>380</v>
      </c>
      <c r="AB32" s="781"/>
      <c r="AC32" s="407"/>
      <c r="AF32" s="415"/>
      <c r="AG32" s="428" t="s">
        <v>50</v>
      </c>
      <c r="AH32" s="738" t="e" cm="1">
        <f t="array" ref="AH32">C_PS2W S_Take_Off_B9</f>
        <v>#NAME?</v>
      </c>
      <c r="AI32" s="738"/>
      <c r="AJ32" s="477" t="e" cm="1">
        <f t="array" ref="AJ32">C_PS2W S_MAX_CONT_B9</f>
        <v>#NAME?</v>
      </c>
      <c r="AK32" s="429" t="s">
        <v>380</v>
      </c>
      <c r="AM32" s="485"/>
      <c r="AN32" s="485"/>
      <c r="AO32" s="485"/>
      <c r="AP32" s="485"/>
      <c r="AQ32" s="485"/>
      <c r="AR32" s="407"/>
    </row>
    <row r="33" spans="2:44" s="60" customFormat="1" ht="15" x14ac:dyDescent="0.2">
      <c r="B33" s="415"/>
      <c r="C33" s="428" t="s">
        <v>23</v>
      </c>
      <c r="D33" s="742" t="e" cm="1">
        <f t="array" ref="D33">C_LHV S_Take_Off_B1</f>
        <v>#NAME?</v>
      </c>
      <c r="E33" s="742"/>
      <c r="F33" s="425" t="e" cm="1">
        <f t="array" ref="F33">C_LHV S_MAX_CONT_B1</f>
        <v>#NAME?</v>
      </c>
      <c r="G33" s="429" t="s">
        <v>367</v>
      </c>
      <c r="I33" s="428" t="s">
        <v>23</v>
      </c>
      <c r="J33" s="425" t="e" cm="1">
        <f t="array" ref="J33">C_LHV S_Take_Off_B2</f>
        <v>#NAME?</v>
      </c>
      <c r="K33" s="425" t="e" cm="1">
        <f t="array" ref="K33">C_LHV S_MAX_CONT_B2</f>
        <v>#NAME?</v>
      </c>
      <c r="L33" s="780" t="s">
        <v>367</v>
      </c>
      <c r="M33" s="781"/>
      <c r="N33" s="407"/>
      <c r="Q33" s="415"/>
      <c r="R33" s="428" t="s">
        <v>23</v>
      </c>
      <c r="S33" s="742" t="e" cm="1">
        <f t="array" ref="S33">C_LHV S_Take_Off_B5</f>
        <v>#NAME?</v>
      </c>
      <c r="T33" s="742"/>
      <c r="U33" s="425" t="e" cm="1">
        <f t="array" ref="U33">C_LHV S_MAX_CONT_B5</f>
        <v>#NAME?</v>
      </c>
      <c r="V33" s="429" t="s">
        <v>367</v>
      </c>
      <c r="X33" s="428" t="s">
        <v>23</v>
      </c>
      <c r="Y33" s="425" t="e" cm="1">
        <f t="array" ref="Y33">C_LHV S_Take_Off_B6</f>
        <v>#NAME?</v>
      </c>
      <c r="Z33" s="425" t="e" cm="1">
        <f t="array" ref="Z33">C_LHV S_MAX_CONT_B6</f>
        <v>#NAME?</v>
      </c>
      <c r="AA33" s="780" t="s">
        <v>367</v>
      </c>
      <c r="AB33" s="781"/>
      <c r="AC33" s="407"/>
      <c r="AF33" s="415"/>
      <c r="AG33" s="428" t="s">
        <v>23</v>
      </c>
      <c r="AH33" s="742" t="e" cm="1">
        <f t="array" ref="AH33">C_LHV S_Take_Off_B9</f>
        <v>#NAME?</v>
      </c>
      <c r="AI33" s="742"/>
      <c r="AJ33" s="478" t="e" cm="1">
        <f t="array" ref="AJ33">C_LHV S_MAX_CONT_B9</f>
        <v>#NAME?</v>
      </c>
      <c r="AK33" s="429" t="s">
        <v>367</v>
      </c>
      <c r="AM33" s="485"/>
      <c r="AN33" s="485"/>
      <c r="AO33" s="485"/>
      <c r="AP33" s="485"/>
      <c r="AQ33" s="485"/>
      <c r="AR33" s="407"/>
    </row>
    <row r="34" spans="2:44" s="60" customFormat="1" ht="15" x14ac:dyDescent="0.2">
      <c r="B34" s="415"/>
      <c r="C34" s="428" t="s">
        <v>60</v>
      </c>
      <c r="D34" s="738" t="e" cm="1">
        <f t="array" ref="D34">C_PT495 S_Take_Off_B1</f>
        <v>#NAME?</v>
      </c>
      <c r="E34" s="738"/>
      <c r="F34" s="430" t="e" cm="1">
        <f t="array" ref="F34">C_PT495 S_MAX_CONT_B1</f>
        <v>#NAME?</v>
      </c>
      <c r="G34" s="429" t="s">
        <v>380</v>
      </c>
      <c r="I34" s="428" t="s">
        <v>60</v>
      </c>
      <c r="J34" s="430" t="e" cm="1">
        <f t="array" ref="J34">C_PT495 S_Take_Off_B2</f>
        <v>#NAME?</v>
      </c>
      <c r="K34" s="430" t="e" cm="1">
        <f t="array" ref="K34">C_PT495 S_MAX_CONT_B2</f>
        <v>#NAME?</v>
      </c>
      <c r="L34" s="780" t="s">
        <v>380</v>
      </c>
      <c r="M34" s="781"/>
      <c r="N34" s="407"/>
      <c r="Q34" s="415"/>
      <c r="R34" s="428" t="s">
        <v>60</v>
      </c>
      <c r="S34" s="738" t="e" cm="1">
        <f t="array" ref="S34">C_PT495 S_Take_Off_B5</f>
        <v>#NAME?</v>
      </c>
      <c r="T34" s="738"/>
      <c r="U34" s="430" t="e" cm="1">
        <f t="array" ref="U34">C_PT495 S_MAX_CONT_B5</f>
        <v>#NAME?</v>
      </c>
      <c r="V34" s="429" t="s">
        <v>380</v>
      </c>
      <c r="X34" s="428" t="s">
        <v>60</v>
      </c>
      <c r="Y34" s="430" t="e" cm="1">
        <f t="array" ref="Y34">C_PT495 S_Take_Off_B6</f>
        <v>#NAME?</v>
      </c>
      <c r="Z34" s="430" t="e" cm="1">
        <f t="array" ref="Z34">C_PT495 S_MAX_CONT_B6</f>
        <v>#NAME?</v>
      </c>
      <c r="AA34" s="780" t="s">
        <v>380</v>
      </c>
      <c r="AB34" s="781"/>
      <c r="AC34" s="407"/>
      <c r="AF34" s="415"/>
      <c r="AG34" s="428" t="s">
        <v>60</v>
      </c>
      <c r="AH34" s="738" t="e" cm="1">
        <f t="array" ref="AH34">C_PT495 S_Take_Off_B9</f>
        <v>#NAME?</v>
      </c>
      <c r="AI34" s="738"/>
      <c r="AJ34" s="477" t="e" cm="1">
        <f t="array" ref="AJ34">C_PT495 S_MAX_CONT_B9</f>
        <v>#NAME?</v>
      </c>
      <c r="AK34" s="429" t="s">
        <v>380</v>
      </c>
      <c r="AM34" s="485"/>
      <c r="AN34" s="485"/>
      <c r="AO34" s="485"/>
      <c r="AP34" s="485"/>
      <c r="AQ34" s="485"/>
      <c r="AR34" s="407"/>
    </row>
    <row r="35" spans="2:44" s="60" customFormat="1" ht="15.75" thickBot="1" x14ac:dyDescent="0.25">
      <c r="B35" s="415"/>
      <c r="C35" s="431" t="s">
        <v>22</v>
      </c>
      <c r="D35" s="739" t="e" cm="1">
        <f t="array" ref="D35">C_KSHUNT S_Take_Off_B1</f>
        <v>#NAME?</v>
      </c>
      <c r="E35" s="739"/>
      <c r="F35" s="432" t="e" cm="1">
        <f t="array" ref="F35">C_KSHUNT S_MAX_CONT_B1</f>
        <v>#NAME?</v>
      </c>
      <c r="G35" s="444" t="s">
        <v>0</v>
      </c>
      <c r="I35" s="431" t="s">
        <v>22</v>
      </c>
      <c r="J35" s="432" t="e" cm="1">
        <f t="array" ref="J35">C_KSHUNT S_Take_Off_B2</f>
        <v>#NAME?</v>
      </c>
      <c r="K35" s="432" t="e" cm="1">
        <f t="array" ref="K35">C_KSHUNT S_MAX_CONT_B2</f>
        <v>#NAME?</v>
      </c>
      <c r="L35" s="778" t="s">
        <v>0</v>
      </c>
      <c r="M35" s="779"/>
      <c r="N35" s="407"/>
      <c r="Q35" s="415"/>
      <c r="R35" s="431" t="s">
        <v>22</v>
      </c>
      <c r="S35" s="739" t="e" cm="1">
        <f t="array" ref="S35">C_KSHUNT S_Take_Off_B5</f>
        <v>#NAME?</v>
      </c>
      <c r="T35" s="739"/>
      <c r="U35" s="432" t="e" cm="1">
        <f t="array" ref="U35">C_KSHUNT S_MAX_CONT_B5</f>
        <v>#NAME?</v>
      </c>
      <c r="V35" s="444" t="s">
        <v>0</v>
      </c>
      <c r="X35" s="431" t="s">
        <v>22</v>
      </c>
      <c r="Y35" s="432" t="e" cm="1">
        <f t="array" ref="Y35">C_KSHUNT S_Take_Off_B6</f>
        <v>#NAME?</v>
      </c>
      <c r="Z35" s="432" t="e" cm="1">
        <f t="array" ref="Z35">C_KSHUNT S_MAX_CONT_B6</f>
        <v>#NAME?</v>
      </c>
      <c r="AA35" s="778" t="s">
        <v>0</v>
      </c>
      <c r="AB35" s="779"/>
      <c r="AC35" s="407"/>
      <c r="AF35" s="415"/>
      <c r="AG35" s="431" t="s">
        <v>22</v>
      </c>
      <c r="AH35" s="739" t="e" cm="1">
        <f t="array" ref="AH35">C_KSHUNT S_Take_Off_B9</f>
        <v>#NAME?</v>
      </c>
      <c r="AI35" s="739"/>
      <c r="AJ35" s="476" t="e" cm="1">
        <f t="array" ref="AJ35">C_KSHUNT S_MAX_CONT_B9</f>
        <v>#NAME?</v>
      </c>
      <c r="AK35" s="444" t="s">
        <v>0</v>
      </c>
      <c r="AM35" s="485"/>
      <c r="AN35" s="485"/>
      <c r="AO35" s="485"/>
      <c r="AP35" s="485"/>
      <c r="AQ35" s="485"/>
      <c r="AR35" s="407"/>
    </row>
    <row r="36" spans="2:44" s="60" customFormat="1" ht="15.75" x14ac:dyDescent="0.25">
      <c r="B36" s="415"/>
      <c r="C36" s="443"/>
      <c r="D36" s="445"/>
      <c r="E36" s="445"/>
      <c r="F36" s="445"/>
      <c r="G36" s="446"/>
      <c r="I36" s="443"/>
      <c r="J36" s="445"/>
      <c r="K36" s="445"/>
      <c r="L36" s="447"/>
      <c r="M36" s="448"/>
      <c r="N36" s="407"/>
      <c r="Q36" s="415"/>
      <c r="R36" s="443"/>
      <c r="S36" s="445"/>
      <c r="T36" s="445"/>
      <c r="U36" s="445"/>
      <c r="V36" s="446"/>
      <c r="X36" s="443"/>
      <c r="Y36" s="445"/>
      <c r="Z36" s="445"/>
      <c r="AA36" s="447"/>
      <c r="AB36" s="448"/>
      <c r="AC36" s="407"/>
      <c r="AF36" s="415"/>
      <c r="AG36" s="484"/>
      <c r="AH36" s="484"/>
      <c r="AI36" s="484"/>
      <c r="AJ36" s="484"/>
      <c r="AK36" s="484"/>
      <c r="AM36" s="485"/>
      <c r="AN36" s="485"/>
      <c r="AO36" s="485"/>
      <c r="AP36" s="485"/>
      <c r="AQ36" s="485"/>
      <c r="AR36" s="407"/>
    </row>
    <row r="37" spans="2:44" s="60" customFormat="1" ht="15.75" x14ac:dyDescent="0.25">
      <c r="B37" s="415"/>
      <c r="C37" s="443"/>
      <c r="D37" s="445"/>
      <c r="E37" s="445"/>
      <c r="F37" s="445"/>
      <c r="G37" s="446"/>
      <c r="I37" s="443"/>
      <c r="J37" s="445"/>
      <c r="K37" s="445"/>
      <c r="L37" s="447"/>
      <c r="M37" s="448"/>
      <c r="N37" s="407"/>
      <c r="Q37" s="415"/>
      <c r="R37" s="443"/>
      <c r="S37" s="445"/>
      <c r="T37" s="445"/>
      <c r="U37" s="445"/>
      <c r="V37" s="446"/>
      <c r="X37" s="443"/>
      <c r="Y37" s="445"/>
      <c r="Z37" s="445"/>
      <c r="AA37" s="447"/>
      <c r="AB37" s="448"/>
      <c r="AC37" s="407"/>
      <c r="AF37" s="415"/>
      <c r="AG37" s="484"/>
      <c r="AH37" s="484"/>
      <c r="AI37" s="484"/>
      <c r="AJ37" s="484"/>
      <c r="AK37" s="484"/>
      <c r="AM37" s="485"/>
      <c r="AN37" s="485"/>
      <c r="AO37" s="485"/>
      <c r="AP37" s="485"/>
      <c r="AQ37" s="485"/>
      <c r="AR37" s="407"/>
    </row>
    <row r="38" spans="2:44" s="60" customFormat="1" ht="15.75" x14ac:dyDescent="0.25">
      <c r="B38" s="415"/>
      <c r="C38" s="443"/>
      <c r="D38" s="445"/>
      <c r="E38" s="445"/>
      <c r="F38" s="445"/>
      <c r="G38" s="446"/>
      <c r="I38" s="443"/>
      <c r="J38" s="445"/>
      <c r="K38" s="445"/>
      <c r="L38" s="447"/>
      <c r="M38" s="448"/>
      <c r="N38" s="407"/>
      <c r="Q38" s="415"/>
      <c r="R38" s="443"/>
      <c r="S38" s="445"/>
      <c r="T38" s="445"/>
      <c r="U38" s="445"/>
      <c r="V38" s="446"/>
      <c r="X38" s="443"/>
      <c r="Y38" s="445"/>
      <c r="Z38" s="445"/>
      <c r="AA38" s="447"/>
      <c r="AB38" s="448"/>
      <c r="AC38" s="407"/>
      <c r="AF38" s="415"/>
      <c r="AG38" s="484"/>
      <c r="AH38" s="484"/>
      <c r="AI38" s="484"/>
      <c r="AJ38" s="484"/>
      <c r="AK38" s="484"/>
      <c r="AM38" s="485"/>
      <c r="AN38" s="485"/>
      <c r="AO38" s="485"/>
      <c r="AP38" s="485"/>
      <c r="AQ38" s="485"/>
      <c r="AR38" s="407"/>
    </row>
    <row r="39" spans="2:44" s="60" customFormat="1" ht="16.5" thickBot="1" x14ac:dyDescent="0.3">
      <c r="B39" s="415"/>
      <c r="C39" s="443"/>
      <c r="D39" s="445"/>
      <c r="E39" s="445"/>
      <c r="F39" s="445"/>
      <c r="G39" s="446"/>
      <c r="I39" s="443"/>
      <c r="J39" s="445"/>
      <c r="K39" s="445"/>
      <c r="L39" s="447"/>
      <c r="M39" s="448"/>
      <c r="N39" s="407"/>
      <c r="Q39" s="415"/>
      <c r="R39" s="443"/>
      <c r="S39" s="445"/>
      <c r="T39" s="445"/>
      <c r="U39" s="445"/>
      <c r="V39" s="446"/>
      <c r="X39" s="443"/>
      <c r="Y39" s="445"/>
      <c r="Z39" s="445"/>
      <c r="AA39" s="447"/>
      <c r="AB39" s="448"/>
      <c r="AC39" s="407"/>
      <c r="AF39" s="415"/>
      <c r="AG39" s="484"/>
      <c r="AH39" s="484"/>
      <c r="AI39" s="484"/>
      <c r="AJ39" s="484"/>
      <c r="AK39" s="484"/>
      <c r="AM39" s="485"/>
      <c r="AN39" s="485"/>
      <c r="AO39" s="485"/>
      <c r="AP39" s="485"/>
      <c r="AQ39" s="485"/>
      <c r="AR39" s="407"/>
    </row>
    <row r="40" spans="2:44" s="60" customFormat="1" ht="21" thickBot="1" x14ac:dyDescent="0.35">
      <c r="B40" s="415"/>
      <c r="C40" s="743" t="s">
        <v>494</v>
      </c>
      <c r="D40" s="744"/>
      <c r="E40" s="744"/>
      <c r="F40" s="744"/>
      <c r="G40" s="745"/>
      <c r="H40" s="413"/>
      <c r="I40" s="743" t="s">
        <v>495</v>
      </c>
      <c r="J40" s="744"/>
      <c r="K40" s="744"/>
      <c r="L40" s="744"/>
      <c r="M40" s="745"/>
      <c r="N40" s="407"/>
      <c r="Q40" s="415"/>
      <c r="R40" s="743" t="s">
        <v>498</v>
      </c>
      <c r="S40" s="744"/>
      <c r="T40" s="744"/>
      <c r="U40" s="744"/>
      <c r="V40" s="745"/>
      <c r="W40" s="413"/>
      <c r="X40" s="743" t="s">
        <v>499</v>
      </c>
      <c r="Y40" s="744"/>
      <c r="Z40" s="744"/>
      <c r="AA40" s="744"/>
      <c r="AB40" s="745"/>
      <c r="AC40" s="407"/>
      <c r="AF40" s="415"/>
      <c r="AG40" s="484"/>
      <c r="AH40" s="484"/>
      <c r="AI40" s="484"/>
      <c r="AJ40" s="484"/>
      <c r="AK40" s="484"/>
      <c r="AL40" s="413"/>
      <c r="AM40" s="485"/>
      <c r="AN40" s="485"/>
      <c r="AO40" s="485"/>
      <c r="AP40" s="485"/>
      <c r="AQ40" s="485"/>
      <c r="AR40" s="407"/>
    </row>
    <row r="41" spans="2:44" s="60" customFormat="1" ht="16.5" thickBot="1" x14ac:dyDescent="0.3">
      <c r="B41" s="415"/>
      <c r="C41" s="414" t="s">
        <v>553</v>
      </c>
      <c r="D41" s="747" t="e" cm="1">
        <f t="array" ref="D41" xml:space="preserve"> VLOOKUP(C_Engine_Rating S_Take_Off_B3, enum_list!$A$2:$F$102,3,1)</f>
        <v>#NAME?</v>
      </c>
      <c r="E41" s="747"/>
      <c r="F41" s="747"/>
      <c r="G41" s="748"/>
      <c r="H41" s="413"/>
      <c r="I41" s="414" t="s">
        <v>553</v>
      </c>
      <c r="J41" s="747" t="e" cm="1">
        <f t="array" ref="J41" xml:space="preserve"> VLOOKUP(C_Engine_Rating S_Take_Off_B4, enum_list!$A$2:$F$102,3,1)</f>
        <v>#NAME?</v>
      </c>
      <c r="K41" s="747"/>
      <c r="L41" s="747"/>
      <c r="M41" s="748"/>
      <c r="N41" s="407"/>
      <c r="Q41" s="415"/>
      <c r="R41" s="414" t="s">
        <v>553</v>
      </c>
      <c r="S41" s="747" t="e" cm="1">
        <f t="array" ref="S41" xml:space="preserve"> VLOOKUP(C_Engine_Rating S_Take_Off_B7, enum_list!$A$2:$F$102,3,1)</f>
        <v>#NAME?</v>
      </c>
      <c r="T41" s="747"/>
      <c r="U41" s="747"/>
      <c r="V41" s="748"/>
      <c r="W41" s="413"/>
      <c r="X41" s="414" t="s">
        <v>553</v>
      </c>
      <c r="Y41" s="747" t="e" cm="1">
        <f t="array" ref="Y41" xml:space="preserve"> VLOOKUP(C_Engine_Rating S_Take_Off_B8, enum_list!$A$2:$F$102,3,1)</f>
        <v>#NAME?</v>
      </c>
      <c r="Z41" s="747"/>
      <c r="AA41" s="747"/>
      <c r="AB41" s="748"/>
      <c r="AC41" s="407"/>
      <c r="AF41" s="415"/>
      <c r="AG41" s="484"/>
      <c r="AH41" s="484"/>
      <c r="AI41" s="484"/>
      <c r="AJ41" s="484"/>
      <c r="AK41" s="484"/>
      <c r="AL41" s="413"/>
      <c r="AM41" s="485"/>
      <c r="AN41" s="485"/>
      <c r="AO41" s="485"/>
      <c r="AP41" s="485"/>
      <c r="AQ41" s="485"/>
      <c r="AR41" s="407"/>
    </row>
    <row r="42" spans="2:44" s="60" customFormat="1" ht="16.5" thickBot="1" x14ac:dyDescent="0.3">
      <c r="B42" s="415"/>
      <c r="C42" s="416"/>
      <c r="D42" s="750" t="s">
        <v>511</v>
      </c>
      <c r="E42" s="751"/>
      <c r="F42" s="417" t="s">
        <v>512</v>
      </c>
      <c r="G42" s="418"/>
      <c r="I42" s="416"/>
      <c r="J42" s="417" t="s">
        <v>511</v>
      </c>
      <c r="K42" s="417" t="s">
        <v>512</v>
      </c>
      <c r="L42" s="750"/>
      <c r="M42" s="751"/>
      <c r="N42" s="407"/>
      <c r="Q42" s="415"/>
      <c r="R42" s="416"/>
      <c r="S42" s="750" t="s">
        <v>511</v>
      </c>
      <c r="T42" s="751"/>
      <c r="U42" s="417" t="s">
        <v>512</v>
      </c>
      <c r="V42" s="418"/>
      <c r="X42" s="416"/>
      <c r="Y42" s="417" t="s">
        <v>511</v>
      </c>
      <c r="Z42" s="417" t="s">
        <v>512</v>
      </c>
      <c r="AA42" s="750"/>
      <c r="AB42" s="751"/>
      <c r="AC42" s="407"/>
      <c r="AF42" s="415"/>
      <c r="AG42" s="484"/>
      <c r="AH42" s="740"/>
      <c r="AI42" s="740"/>
      <c r="AJ42" s="486"/>
      <c r="AK42" s="485"/>
      <c r="AM42" s="485"/>
      <c r="AN42" s="485"/>
      <c r="AO42" s="485"/>
      <c r="AP42" s="485"/>
      <c r="AQ42" s="485"/>
      <c r="AR42" s="407"/>
    </row>
    <row r="43" spans="2:44" s="60" customFormat="1" ht="15.75" x14ac:dyDescent="0.25">
      <c r="B43" s="415"/>
      <c r="C43" s="421" t="s">
        <v>29</v>
      </c>
      <c r="D43" s="752" t="e" cm="1">
        <f t="array" ref="D43">C_N1 S_Take_Off_B3</f>
        <v>#NAME?</v>
      </c>
      <c r="E43" s="752"/>
      <c r="F43" s="422" t="e" cm="1">
        <f t="array" ref="F43">C_N1 S_MAX_CONT_B3</f>
        <v>#NAME?</v>
      </c>
      <c r="G43" s="423" t="s">
        <v>331</v>
      </c>
      <c r="I43" s="421" t="s">
        <v>29</v>
      </c>
      <c r="J43" s="422" t="e" cm="1">
        <f t="array" ref="J43">C_N1 S_Take_Off_B4</f>
        <v>#NAME?</v>
      </c>
      <c r="K43" s="422" t="e" cm="1">
        <f t="array" ref="K43">C_N1 S_MAX_CONT_B4</f>
        <v>#NAME?</v>
      </c>
      <c r="L43" s="784" t="s">
        <v>331</v>
      </c>
      <c r="M43" s="785"/>
      <c r="N43" s="407"/>
      <c r="Q43" s="415"/>
      <c r="R43" s="421" t="s">
        <v>29</v>
      </c>
      <c r="S43" s="752" t="e" cm="1">
        <f t="array" ref="S43">C_N1 S_Take_Off_B7</f>
        <v>#NAME?</v>
      </c>
      <c r="T43" s="752"/>
      <c r="U43" s="422" t="e" cm="1">
        <f t="array" ref="U43">C_N1 S_MAX_CONT_B7</f>
        <v>#NAME?</v>
      </c>
      <c r="V43" s="423" t="s">
        <v>331</v>
      </c>
      <c r="X43" s="421" t="s">
        <v>29</v>
      </c>
      <c r="Y43" s="422" t="e" cm="1">
        <f t="array" ref="Y43">C_N1 S_Take_Off_B8</f>
        <v>#NAME?</v>
      </c>
      <c r="Z43" s="422" t="e" cm="1">
        <f t="array" ref="Z43">C_N1 S_MAX_CONT_B8</f>
        <v>#NAME?</v>
      </c>
      <c r="AA43" s="784" t="s">
        <v>331</v>
      </c>
      <c r="AB43" s="785"/>
      <c r="AC43" s="407"/>
      <c r="AF43" s="415"/>
      <c r="AG43" s="484"/>
      <c r="AH43" s="735"/>
      <c r="AI43" s="735"/>
      <c r="AJ43" s="488"/>
      <c r="AK43" s="490"/>
      <c r="AM43" s="485"/>
      <c r="AN43" s="485"/>
      <c r="AO43" s="485"/>
      <c r="AP43" s="485"/>
      <c r="AQ43" s="485"/>
      <c r="AR43" s="407"/>
    </row>
    <row r="44" spans="2:44" s="60" customFormat="1" ht="15.75" x14ac:dyDescent="0.25">
      <c r="B44" s="415"/>
      <c r="C44" s="424" t="s">
        <v>33</v>
      </c>
      <c r="D44" s="742" t="e" cm="1">
        <f t="array" ref="D44">C_N2 S_Take_Off_B3</f>
        <v>#NAME?</v>
      </c>
      <c r="E44" s="742"/>
      <c r="F44" s="425" t="e" cm="1">
        <f t="array" ref="F44">C_N2 S_MAX_CONT_B3</f>
        <v>#NAME?</v>
      </c>
      <c r="G44" s="426" t="s">
        <v>331</v>
      </c>
      <c r="I44" s="424" t="s">
        <v>33</v>
      </c>
      <c r="J44" s="425" t="e" cm="1">
        <f t="array" ref="J44">C_N2 S_Take_Off_B4</f>
        <v>#NAME?</v>
      </c>
      <c r="K44" s="425" t="e" cm="1">
        <f t="array" ref="K44">C_N2 S_MAX_CONT_B4</f>
        <v>#NAME?</v>
      </c>
      <c r="L44" s="782" t="s">
        <v>331</v>
      </c>
      <c r="M44" s="783"/>
      <c r="N44" s="407"/>
      <c r="Q44" s="415"/>
      <c r="R44" s="424" t="s">
        <v>33</v>
      </c>
      <c r="S44" s="742" t="e" cm="1">
        <f t="array" ref="S44">C_N2 S_Take_Off_B7</f>
        <v>#NAME?</v>
      </c>
      <c r="T44" s="742"/>
      <c r="U44" s="425" t="e" cm="1">
        <f t="array" ref="U44">C_N2 S_MAX_CONT_B7</f>
        <v>#NAME?</v>
      </c>
      <c r="V44" s="426" t="s">
        <v>331</v>
      </c>
      <c r="X44" s="424" t="s">
        <v>33</v>
      </c>
      <c r="Y44" s="425" t="e" cm="1">
        <f t="array" ref="Y44">C_N2 S_Take_Off_B8</f>
        <v>#NAME?</v>
      </c>
      <c r="Z44" s="425" t="e" cm="1">
        <f t="array" ref="Z44">C_N2 S_MAX_CONT_B8</f>
        <v>#NAME?</v>
      </c>
      <c r="AA44" s="782" t="s">
        <v>331</v>
      </c>
      <c r="AB44" s="783"/>
      <c r="AC44" s="407"/>
      <c r="AF44" s="415"/>
      <c r="AG44" s="484"/>
      <c r="AH44" s="735"/>
      <c r="AI44" s="735"/>
      <c r="AJ44" s="488"/>
      <c r="AK44" s="490"/>
      <c r="AM44" s="485"/>
      <c r="AN44" s="485"/>
      <c r="AO44" s="485"/>
      <c r="AP44" s="485"/>
      <c r="AQ44" s="485"/>
      <c r="AR44" s="407"/>
    </row>
    <row r="45" spans="2:44" s="60" customFormat="1" ht="15.75" x14ac:dyDescent="0.25">
      <c r="B45" s="415"/>
      <c r="C45" s="424" t="s">
        <v>246</v>
      </c>
      <c r="D45" s="741" t="e" cm="1">
        <f t="array" ref="D45">C_T495_SEL_A S_Take_Off_B3</f>
        <v>#NAME?</v>
      </c>
      <c r="E45" s="741"/>
      <c r="F45" s="427" t="e" cm="1">
        <f t="array" ref="F45">C_T495_SEL_A S_MAX_CONT_B3</f>
        <v>#NAME?</v>
      </c>
      <c r="G45" s="426" t="s">
        <v>333</v>
      </c>
      <c r="I45" s="424" t="s">
        <v>246</v>
      </c>
      <c r="J45" s="427" t="e" cm="1">
        <f t="array" ref="J45">C_T495_SEL_A S_Take_Off_B4</f>
        <v>#NAME?</v>
      </c>
      <c r="K45" s="427" t="e" cm="1">
        <f t="array" ref="K45">C_T495_SEL_A S_MAX_CONT_B4</f>
        <v>#NAME?</v>
      </c>
      <c r="L45" s="782" t="s">
        <v>333</v>
      </c>
      <c r="M45" s="783"/>
      <c r="N45" s="407"/>
      <c r="Q45" s="415"/>
      <c r="R45" s="424" t="s">
        <v>246</v>
      </c>
      <c r="S45" s="741" t="e" cm="1">
        <f t="array" ref="S45">C_T495_SEL_A S_Take_Off_B7</f>
        <v>#NAME?</v>
      </c>
      <c r="T45" s="741"/>
      <c r="U45" s="427" t="e" cm="1">
        <f t="array" ref="U45">C_T495_SEL_A S_MAX_CONT_B7</f>
        <v>#NAME?</v>
      </c>
      <c r="V45" s="426" t="s">
        <v>333</v>
      </c>
      <c r="X45" s="424" t="s">
        <v>246</v>
      </c>
      <c r="Y45" s="427" t="e" cm="1">
        <f t="array" ref="Y45">C_T495_SEL_A S_Take_Off_B8</f>
        <v>#NAME?</v>
      </c>
      <c r="Z45" s="427" t="e" cm="1">
        <f t="array" ref="Z45">C_T495_SEL_A S_MAX_CONT_B8</f>
        <v>#NAME?</v>
      </c>
      <c r="AA45" s="782" t="s">
        <v>333</v>
      </c>
      <c r="AB45" s="783"/>
      <c r="AC45" s="407"/>
      <c r="AF45" s="415"/>
      <c r="AG45" s="484"/>
      <c r="AH45" s="736"/>
      <c r="AI45" s="736"/>
      <c r="AJ45" s="445"/>
      <c r="AK45" s="490"/>
      <c r="AM45" s="485"/>
      <c r="AN45" s="485"/>
      <c r="AO45" s="485"/>
      <c r="AP45" s="485"/>
      <c r="AQ45" s="485"/>
      <c r="AR45" s="407"/>
    </row>
    <row r="46" spans="2:44" s="60" customFormat="1" ht="15.75" x14ac:dyDescent="0.25">
      <c r="B46" s="415"/>
      <c r="C46" s="428" t="s">
        <v>554</v>
      </c>
      <c r="D46" s="742" t="e" cm="1">
        <f t="array" ref="D46">C_FNnet S_Take_Off_B3</f>
        <v>#NAME?</v>
      </c>
      <c r="E46" s="742"/>
      <c r="F46" s="425" t="e" cm="1">
        <f t="array" ref="F46">C_FNnet S_MAX_CONT_B3</f>
        <v>#NAME?</v>
      </c>
      <c r="G46" s="426" t="s">
        <v>555</v>
      </c>
      <c r="I46" s="428" t="s">
        <v>554</v>
      </c>
      <c r="J46" s="425" t="e" cm="1">
        <f t="array" ref="J46">C_FNnet S_Take_Off_B4</f>
        <v>#NAME?</v>
      </c>
      <c r="K46" s="425" t="e" cm="1">
        <f t="array" ref="K46">C_FNnet S_MAX_CONT_B4</f>
        <v>#NAME?</v>
      </c>
      <c r="L46" s="782" t="s">
        <v>555</v>
      </c>
      <c r="M46" s="783"/>
      <c r="N46" s="407"/>
      <c r="Q46" s="415"/>
      <c r="R46" s="428" t="s">
        <v>554</v>
      </c>
      <c r="S46" s="742" t="e" cm="1">
        <f t="array" ref="S46">C_FNnet S_Take_Off_B7</f>
        <v>#NAME?</v>
      </c>
      <c r="T46" s="742"/>
      <c r="U46" s="425" t="e" cm="1">
        <f t="array" ref="U46">C_FNnet S_MAX_CONT_B7</f>
        <v>#NAME?</v>
      </c>
      <c r="V46" s="426" t="s">
        <v>555</v>
      </c>
      <c r="X46" s="428" t="s">
        <v>554</v>
      </c>
      <c r="Y46" s="425" t="e" cm="1">
        <f t="array" ref="Y46">C_FNnet S_Take_Off_B8</f>
        <v>#NAME?</v>
      </c>
      <c r="Z46" s="425" t="e" cm="1">
        <f t="array" ref="Z46">C_FNnet S_MAX_CONT_B8</f>
        <v>#NAME?</v>
      </c>
      <c r="AA46" s="782" t="s">
        <v>555</v>
      </c>
      <c r="AB46" s="783"/>
      <c r="AC46" s="407"/>
      <c r="AF46" s="415"/>
      <c r="AG46" s="484"/>
      <c r="AH46" s="735"/>
      <c r="AI46" s="735"/>
      <c r="AJ46" s="488"/>
      <c r="AK46" s="490"/>
      <c r="AM46" s="485"/>
      <c r="AN46" s="485"/>
      <c r="AO46" s="485"/>
      <c r="AP46" s="485"/>
      <c r="AQ46" s="485"/>
      <c r="AR46" s="407"/>
    </row>
    <row r="47" spans="2:44" s="60" customFormat="1" ht="15.75" x14ac:dyDescent="0.25">
      <c r="B47" s="415"/>
      <c r="C47" s="428" t="s">
        <v>75</v>
      </c>
      <c r="D47" s="742" t="e" cm="1">
        <f t="array" ref="D47">C_WF1 S_Take_Off_B3</f>
        <v>#NAME?</v>
      </c>
      <c r="E47" s="742"/>
      <c r="F47" s="425" t="e" cm="1">
        <f t="array" ref="F47">C_WF1 S_MAX_CONT_B3</f>
        <v>#NAME?</v>
      </c>
      <c r="G47" s="429" t="s">
        <v>358</v>
      </c>
      <c r="I47" s="428" t="s">
        <v>75</v>
      </c>
      <c r="J47" s="425" t="e" cm="1">
        <f t="array" ref="J47">C_WF1 S_Take_Off_B4</f>
        <v>#NAME?</v>
      </c>
      <c r="K47" s="425" t="e" cm="1">
        <f t="array" ref="K47">C_WF1 S_MAX_CONT_B4</f>
        <v>#NAME?</v>
      </c>
      <c r="L47" s="780" t="s">
        <v>358</v>
      </c>
      <c r="M47" s="781"/>
      <c r="N47" s="407"/>
      <c r="Q47" s="415"/>
      <c r="R47" s="428" t="s">
        <v>75</v>
      </c>
      <c r="S47" s="742" t="e" cm="1">
        <f t="array" ref="S47">C_WF1 S_Take_Off_B7</f>
        <v>#NAME?</v>
      </c>
      <c r="T47" s="742"/>
      <c r="U47" s="425" t="e" cm="1">
        <f t="array" ref="U47">C_WF1 S_MAX_CONT_B7</f>
        <v>#NAME?</v>
      </c>
      <c r="V47" s="429" t="s">
        <v>358</v>
      </c>
      <c r="X47" s="428" t="s">
        <v>75</v>
      </c>
      <c r="Y47" s="425" t="e" cm="1">
        <f t="array" ref="Y47">C_WF1 S_Take_Off_B8</f>
        <v>#NAME?</v>
      </c>
      <c r="Z47" s="425" t="e" cm="1">
        <f t="array" ref="Z47">C_WF1 S_MAX_CONT_B8</f>
        <v>#NAME?</v>
      </c>
      <c r="AA47" s="780" t="s">
        <v>358</v>
      </c>
      <c r="AB47" s="781"/>
      <c r="AC47" s="407"/>
      <c r="AF47" s="415"/>
      <c r="AG47" s="484"/>
      <c r="AH47" s="735"/>
      <c r="AI47" s="735"/>
      <c r="AJ47" s="488"/>
      <c r="AK47" s="491"/>
      <c r="AM47" s="485"/>
      <c r="AN47" s="485"/>
      <c r="AO47" s="485"/>
      <c r="AP47" s="485"/>
      <c r="AQ47" s="485"/>
      <c r="AR47" s="407"/>
    </row>
    <row r="48" spans="2:44" s="60" customFormat="1" ht="15.75" x14ac:dyDescent="0.25">
      <c r="B48" s="415"/>
      <c r="C48" s="428" t="s">
        <v>556</v>
      </c>
      <c r="D48" s="741" t="e" cm="1">
        <f t="array" ref="D48">C_T_Cell S_Take_Off_B3</f>
        <v>#NAME?</v>
      </c>
      <c r="E48" s="741"/>
      <c r="F48" s="427" t="e" cm="1">
        <f t="array" ref="F48">C_T_Cell S_MAX_CONT_B3</f>
        <v>#NAME?</v>
      </c>
      <c r="G48" s="426" t="s">
        <v>333</v>
      </c>
      <c r="I48" s="428" t="s">
        <v>556</v>
      </c>
      <c r="J48" s="427" t="e" cm="1">
        <f t="array" ref="J48">C_T_Cell S_Take_Off_B4</f>
        <v>#NAME?</v>
      </c>
      <c r="K48" s="427" t="e" cm="1">
        <f t="array" ref="K48">C_T_Cell S_MAX_CONT_B4</f>
        <v>#NAME?</v>
      </c>
      <c r="L48" s="782" t="s">
        <v>333</v>
      </c>
      <c r="M48" s="783"/>
      <c r="N48" s="407"/>
      <c r="Q48" s="415"/>
      <c r="R48" s="428" t="s">
        <v>556</v>
      </c>
      <c r="S48" s="741" t="e" cm="1">
        <f t="array" ref="S48">C_T_Cell S_Take_Off_B7</f>
        <v>#NAME?</v>
      </c>
      <c r="T48" s="741"/>
      <c r="U48" s="427" t="e" cm="1">
        <f t="array" ref="U48">C_T_Cell S_MAX_CONT_B7</f>
        <v>#NAME?</v>
      </c>
      <c r="V48" s="426" t="s">
        <v>333</v>
      </c>
      <c r="X48" s="428" t="s">
        <v>556</v>
      </c>
      <c r="Y48" s="427" t="e" cm="1">
        <f t="array" ref="Y48">C_T_Cell S_Take_Off_B8</f>
        <v>#NAME?</v>
      </c>
      <c r="Z48" s="427" t="e" cm="1">
        <f t="array" ref="Z48">C_T_Cell S_MAX_CONT_B8</f>
        <v>#NAME?</v>
      </c>
      <c r="AA48" s="782" t="s">
        <v>333</v>
      </c>
      <c r="AB48" s="783"/>
      <c r="AC48" s="407"/>
      <c r="AF48" s="415"/>
      <c r="AG48" s="484"/>
      <c r="AH48" s="736"/>
      <c r="AI48" s="736"/>
      <c r="AJ48" s="445"/>
      <c r="AK48" s="490"/>
      <c r="AM48" s="485"/>
      <c r="AN48" s="485"/>
      <c r="AO48" s="485"/>
      <c r="AP48" s="485"/>
      <c r="AQ48" s="485"/>
      <c r="AR48" s="407"/>
    </row>
    <row r="49" spans="2:44" s="60" customFormat="1" ht="15.75" x14ac:dyDescent="0.25">
      <c r="B49" s="415"/>
      <c r="C49" s="428" t="s">
        <v>62</v>
      </c>
      <c r="D49" s="741" t="e" cm="1">
        <f t="array" ref="D49">C_RHUM S_Take_Off_B3</f>
        <v>#NAME?</v>
      </c>
      <c r="E49" s="741"/>
      <c r="F49" s="427" t="e" cm="1">
        <f t="array" ref="F49">C_RHUM S_MAX_CONT_B3</f>
        <v>#NAME?</v>
      </c>
      <c r="G49" s="429" t="s">
        <v>3</v>
      </c>
      <c r="I49" s="428" t="s">
        <v>62</v>
      </c>
      <c r="J49" s="427" t="e" cm="1">
        <f t="array" ref="J49">C_RHUM S_Take_Off_B4</f>
        <v>#NAME?</v>
      </c>
      <c r="K49" s="427" t="e" cm="1">
        <f t="array" ref="K49">C_RHUM S_MAX_CONT_B4</f>
        <v>#NAME?</v>
      </c>
      <c r="L49" s="780" t="s">
        <v>3</v>
      </c>
      <c r="M49" s="781"/>
      <c r="N49" s="407"/>
      <c r="Q49" s="415"/>
      <c r="R49" s="428" t="s">
        <v>62</v>
      </c>
      <c r="S49" s="741" t="e" cm="1">
        <f t="array" ref="S49">C_RHUM S_Take_Off_B7</f>
        <v>#NAME?</v>
      </c>
      <c r="T49" s="741"/>
      <c r="U49" s="427" t="e" cm="1">
        <f t="array" ref="U49">C_RHUM S_MAX_CONT_B7</f>
        <v>#NAME?</v>
      </c>
      <c r="V49" s="429" t="s">
        <v>3</v>
      </c>
      <c r="X49" s="428" t="s">
        <v>62</v>
      </c>
      <c r="Y49" s="427" t="e" cm="1">
        <f t="array" ref="Y49">C_RHUM S_Take_Off_B8</f>
        <v>#NAME?</v>
      </c>
      <c r="Z49" s="427" t="e" cm="1">
        <f t="array" ref="Z49">C_RHUM S_MAX_CONT_B8</f>
        <v>#NAME?</v>
      </c>
      <c r="AA49" s="780" t="s">
        <v>3</v>
      </c>
      <c r="AB49" s="781"/>
      <c r="AC49" s="407"/>
      <c r="AF49" s="415"/>
      <c r="AG49" s="484"/>
      <c r="AH49" s="736"/>
      <c r="AI49" s="736"/>
      <c r="AJ49" s="445"/>
      <c r="AK49" s="491"/>
      <c r="AM49" s="485"/>
      <c r="AN49" s="485"/>
      <c r="AO49" s="485"/>
      <c r="AP49" s="485"/>
      <c r="AQ49" s="485"/>
      <c r="AR49" s="407"/>
    </row>
    <row r="50" spans="2:44" s="60" customFormat="1" ht="15.75" x14ac:dyDescent="0.25">
      <c r="B50" s="415"/>
      <c r="C50" s="428" t="s">
        <v>21</v>
      </c>
      <c r="D50" s="741" t="e" cm="1">
        <f t="array" ref="D50">C_HUM S_Take_Off_B3</f>
        <v>#NAME?</v>
      </c>
      <c r="E50" s="741"/>
      <c r="F50" s="427" t="e" cm="1">
        <f t="array" ref="F50">C_HUM S_MAX_CONT_B3</f>
        <v>#NAME?</v>
      </c>
      <c r="G50" s="429" t="s">
        <v>370</v>
      </c>
      <c r="I50" s="428" t="s">
        <v>21</v>
      </c>
      <c r="J50" s="427" t="e" cm="1">
        <f t="array" ref="J50">C_HUM S_Take_Off_B4</f>
        <v>#NAME?</v>
      </c>
      <c r="K50" s="427" t="e" cm="1">
        <f t="array" ref="K50">C_HUM S_MAX_CONT_B4</f>
        <v>#NAME?</v>
      </c>
      <c r="L50" s="780" t="s">
        <v>370</v>
      </c>
      <c r="M50" s="781"/>
      <c r="N50" s="407"/>
      <c r="Q50" s="415"/>
      <c r="R50" s="428" t="s">
        <v>21</v>
      </c>
      <c r="S50" s="741" t="e" cm="1">
        <f t="array" ref="S50">C_HUM S_Take_Off_B7</f>
        <v>#NAME?</v>
      </c>
      <c r="T50" s="741"/>
      <c r="U50" s="427" t="e" cm="1">
        <f t="array" ref="U50">C_HUM S_MAX_CONT_B7</f>
        <v>#NAME?</v>
      </c>
      <c r="V50" s="429" t="s">
        <v>370</v>
      </c>
      <c r="X50" s="428" t="s">
        <v>21</v>
      </c>
      <c r="Y50" s="427" t="e" cm="1">
        <f t="array" ref="Y50">C_HUM S_Take_Off_B8</f>
        <v>#NAME?</v>
      </c>
      <c r="Z50" s="427" t="e" cm="1">
        <f t="array" ref="Z50">C_HUM S_MAX_CONT_B8</f>
        <v>#NAME?</v>
      </c>
      <c r="AA50" s="780" t="s">
        <v>370</v>
      </c>
      <c r="AB50" s="781"/>
      <c r="AC50" s="407"/>
      <c r="AF50" s="415"/>
      <c r="AG50" s="484"/>
      <c r="AH50" s="736"/>
      <c r="AI50" s="736"/>
      <c r="AJ50" s="445"/>
      <c r="AK50" s="491"/>
      <c r="AM50" s="485"/>
      <c r="AN50" s="485"/>
      <c r="AO50" s="485"/>
      <c r="AP50" s="485"/>
      <c r="AQ50" s="485"/>
      <c r="AR50" s="407"/>
    </row>
    <row r="51" spans="2:44" s="60" customFormat="1" ht="15.75" x14ac:dyDescent="0.25">
      <c r="B51" s="415"/>
      <c r="C51" s="428" t="s">
        <v>46</v>
      </c>
      <c r="D51" s="738" t="e" cm="1">
        <f t="array" ref="D51">C_PAMB1 S_Take_Off_B3</f>
        <v>#NAME?</v>
      </c>
      <c r="E51" s="738"/>
      <c r="F51" s="430" t="e" cm="1">
        <f t="array" ref="F51">C_PAMB1 S_MAX_CONT_B3</f>
        <v>#NAME?</v>
      </c>
      <c r="G51" s="429" t="s">
        <v>380</v>
      </c>
      <c r="I51" s="428" t="s">
        <v>46</v>
      </c>
      <c r="J51" s="430" t="e" cm="1">
        <f t="array" ref="J51">C_PAMB1 S_Take_Off_B4</f>
        <v>#NAME?</v>
      </c>
      <c r="K51" s="430" t="e" cm="1">
        <f t="array" ref="K51">C_PAMB1 S_MAX_CONT_B4</f>
        <v>#NAME?</v>
      </c>
      <c r="L51" s="780" t="s">
        <v>380</v>
      </c>
      <c r="M51" s="781"/>
      <c r="N51" s="407"/>
      <c r="Q51" s="415"/>
      <c r="R51" s="428" t="s">
        <v>46</v>
      </c>
      <c r="S51" s="738" t="e" cm="1">
        <f t="array" ref="S51">C_PAMB1 S_Take_Off_B7</f>
        <v>#NAME?</v>
      </c>
      <c r="T51" s="738"/>
      <c r="U51" s="430" t="e" cm="1">
        <f t="array" ref="U51">C_PAMB1 S_MAX_CONT_B7</f>
        <v>#NAME?</v>
      </c>
      <c r="V51" s="429" t="s">
        <v>380</v>
      </c>
      <c r="X51" s="428" t="s">
        <v>46</v>
      </c>
      <c r="Y51" s="430" t="e" cm="1">
        <f t="array" ref="Y51">C_PAMB1 S_Take_Off_B8</f>
        <v>#NAME?</v>
      </c>
      <c r="Z51" s="430" t="e" cm="1">
        <f t="array" ref="Z51">C_PAMB1 S_MAX_CONT_B8</f>
        <v>#NAME?</v>
      </c>
      <c r="AA51" s="780" t="s">
        <v>380</v>
      </c>
      <c r="AB51" s="781"/>
      <c r="AC51" s="407"/>
      <c r="AF51" s="415"/>
      <c r="AG51" s="484"/>
      <c r="AH51" s="734"/>
      <c r="AI51" s="734"/>
      <c r="AJ51" s="489"/>
      <c r="AK51" s="491"/>
      <c r="AM51" s="485"/>
      <c r="AN51" s="485"/>
      <c r="AO51" s="485"/>
      <c r="AP51" s="485"/>
      <c r="AQ51" s="485"/>
      <c r="AR51" s="407"/>
    </row>
    <row r="52" spans="2:44" s="60" customFormat="1" ht="15.75" x14ac:dyDescent="0.25">
      <c r="B52" s="415"/>
      <c r="C52" s="428" t="s">
        <v>559</v>
      </c>
      <c r="D52" s="738" t="e" cm="1">
        <f t="array" ref="D52">C_PT2_ECU_A S_Take_Off_B3</f>
        <v>#NAME?</v>
      </c>
      <c r="E52" s="738"/>
      <c r="F52" s="430" t="e" cm="1">
        <f t="array" ref="F52">C_PT2_ECU_A S_MAX_CONT_B3</f>
        <v>#NAME?</v>
      </c>
      <c r="G52" s="429" t="s">
        <v>380</v>
      </c>
      <c r="I52" s="428" t="s">
        <v>559</v>
      </c>
      <c r="J52" s="430" t="e" cm="1">
        <f t="array" ref="J52">C_PT2_ECU_A S_Take_Off_B4</f>
        <v>#NAME?</v>
      </c>
      <c r="K52" s="430" t="e" cm="1">
        <f t="array" ref="K52">C_PT2_ECU_A S_MAX_CONT_B4</f>
        <v>#NAME?</v>
      </c>
      <c r="L52" s="780" t="s">
        <v>380</v>
      </c>
      <c r="M52" s="781"/>
      <c r="N52" s="407"/>
      <c r="Q52" s="415"/>
      <c r="R52" s="428" t="s">
        <v>559</v>
      </c>
      <c r="S52" s="738" t="e" cm="1">
        <f t="array" ref="S52">C_PT2_ECU_A S_Take_Off_B7</f>
        <v>#NAME?</v>
      </c>
      <c r="T52" s="738"/>
      <c r="U52" s="430" t="e" cm="1">
        <f t="array" ref="U52">C_PT2_ECU_A S_MAX_CONT_B7</f>
        <v>#NAME?</v>
      </c>
      <c r="V52" s="429" t="s">
        <v>380</v>
      </c>
      <c r="X52" s="428" t="s">
        <v>559</v>
      </c>
      <c r="Y52" s="430" t="e" cm="1">
        <f t="array" ref="Y52">C_PT2_ECU_A S_Take_Off_B8</f>
        <v>#NAME?</v>
      </c>
      <c r="Z52" s="430" t="e" cm="1">
        <f t="array" ref="Z52">C_PT2_ECU_A S_MAX_CONT_B8</f>
        <v>#NAME?</v>
      </c>
      <c r="AA52" s="780" t="s">
        <v>380</v>
      </c>
      <c r="AB52" s="781"/>
      <c r="AC52" s="407"/>
      <c r="AF52" s="415"/>
      <c r="AG52" s="484"/>
      <c r="AH52" s="734"/>
      <c r="AI52" s="734"/>
      <c r="AJ52" s="489"/>
      <c r="AK52" s="491"/>
      <c r="AM52" s="485"/>
      <c r="AN52" s="485"/>
      <c r="AO52" s="485"/>
      <c r="AP52" s="485"/>
      <c r="AQ52" s="485"/>
      <c r="AR52" s="407"/>
    </row>
    <row r="53" spans="2:44" s="60" customFormat="1" ht="15.75" x14ac:dyDescent="0.25">
      <c r="B53" s="415"/>
      <c r="C53" s="428" t="s">
        <v>50</v>
      </c>
      <c r="D53" s="738" t="e" cm="1">
        <f t="array" ref="D53">C_PS2W S_Take_Off_B3</f>
        <v>#NAME?</v>
      </c>
      <c r="E53" s="738"/>
      <c r="F53" s="430" t="e" cm="1">
        <f t="array" ref="F53">C_PS2W S_MAX_CONT_B3</f>
        <v>#NAME?</v>
      </c>
      <c r="G53" s="429" t="s">
        <v>380</v>
      </c>
      <c r="I53" s="428" t="s">
        <v>50</v>
      </c>
      <c r="J53" s="430" t="e" cm="1">
        <f t="array" ref="J53">C_PS2W S_Take_Off_B4</f>
        <v>#NAME?</v>
      </c>
      <c r="K53" s="430" t="e" cm="1">
        <f t="array" ref="K53">C_PS2W S_MAX_CONT_B4</f>
        <v>#NAME?</v>
      </c>
      <c r="L53" s="780" t="s">
        <v>380</v>
      </c>
      <c r="M53" s="781"/>
      <c r="N53" s="407"/>
      <c r="Q53" s="415"/>
      <c r="R53" s="428" t="s">
        <v>50</v>
      </c>
      <c r="S53" s="738" t="e" cm="1">
        <f t="array" ref="S53">C_PS2W S_Take_Off_B7</f>
        <v>#NAME?</v>
      </c>
      <c r="T53" s="738"/>
      <c r="U53" s="430" t="e" cm="1">
        <f t="array" ref="U53">C_PS2W S_MAX_CONT_B7</f>
        <v>#NAME?</v>
      </c>
      <c r="V53" s="429" t="s">
        <v>380</v>
      </c>
      <c r="X53" s="428" t="s">
        <v>50</v>
      </c>
      <c r="Y53" s="430" t="e" cm="1">
        <f t="array" ref="Y53">C_PS2W S_Take_Off_B8</f>
        <v>#NAME?</v>
      </c>
      <c r="Z53" s="430" t="e" cm="1">
        <f t="array" ref="Z53">C_PS2W S_MAX_CONT_B8</f>
        <v>#NAME?</v>
      </c>
      <c r="AA53" s="780" t="s">
        <v>380</v>
      </c>
      <c r="AB53" s="781"/>
      <c r="AC53" s="407"/>
      <c r="AF53" s="415"/>
      <c r="AG53" s="484"/>
      <c r="AH53" s="734"/>
      <c r="AI53" s="734"/>
      <c r="AJ53" s="489"/>
      <c r="AK53" s="491"/>
      <c r="AM53" s="485"/>
      <c r="AN53" s="485"/>
      <c r="AO53" s="485"/>
      <c r="AP53" s="485"/>
      <c r="AQ53" s="485"/>
      <c r="AR53" s="407"/>
    </row>
    <row r="54" spans="2:44" s="60" customFormat="1" ht="15.75" x14ac:dyDescent="0.25">
      <c r="B54" s="415"/>
      <c r="C54" s="428" t="s">
        <v>23</v>
      </c>
      <c r="D54" s="742" t="e" cm="1">
        <f t="array" ref="D54">C_LHV S_Take_Off_B3</f>
        <v>#NAME?</v>
      </c>
      <c r="E54" s="742"/>
      <c r="F54" s="425" t="e" cm="1">
        <f t="array" ref="F54">C_LHV S_MAX_CONT_B3</f>
        <v>#NAME?</v>
      </c>
      <c r="G54" s="429" t="s">
        <v>367</v>
      </c>
      <c r="I54" s="428" t="s">
        <v>23</v>
      </c>
      <c r="J54" s="425" t="e" cm="1">
        <f t="array" ref="J54">C_LHV S_Take_Off_B4</f>
        <v>#NAME?</v>
      </c>
      <c r="K54" s="425" t="e" cm="1">
        <f t="array" ref="K54">C_LHV S_MAX_CONT_B4</f>
        <v>#NAME?</v>
      </c>
      <c r="L54" s="780" t="s">
        <v>367</v>
      </c>
      <c r="M54" s="781"/>
      <c r="N54" s="407"/>
      <c r="Q54" s="415"/>
      <c r="R54" s="428" t="s">
        <v>23</v>
      </c>
      <c r="S54" s="742" t="e" cm="1">
        <f t="array" ref="S54">C_LHV S_Take_Off_B7</f>
        <v>#NAME?</v>
      </c>
      <c r="T54" s="742"/>
      <c r="U54" s="425" t="e" cm="1">
        <f t="array" ref="U54">C_LHV S_MAX_CONT_B7</f>
        <v>#NAME?</v>
      </c>
      <c r="V54" s="429" t="s">
        <v>367</v>
      </c>
      <c r="X54" s="428" t="s">
        <v>23</v>
      </c>
      <c r="Y54" s="425" t="e" cm="1">
        <f t="array" ref="Y54">C_LHV S_Take_Off_B8</f>
        <v>#NAME?</v>
      </c>
      <c r="Z54" s="425" t="e" cm="1">
        <f t="array" ref="Z54">C_LHV S_MAX_CONT_B8</f>
        <v>#NAME?</v>
      </c>
      <c r="AA54" s="780" t="s">
        <v>367</v>
      </c>
      <c r="AB54" s="781"/>
      <c r="AC54" s="407"/>
      <c r="AF54" s="415"/>
      <c r="AG54" s="484"/>
      <c r="AH54" s="735"/>
      <c r="AI54" s="735"/>
      <c r="AJ54" s="488"/>
      <c r="AK54" s="491"/>
      <c r="AM54" s="485"/>
      <c r="AN54" s="485"/>
      <c r="AO54" s="485"/>
      <c r="AP54" s="485"/>
      <c r="AQ54" s="485"/>
      <c r="AR54" s="407"/>
    </row>
    <row r="55" spans="2:44" s="60" customFormat="1" ht="15.75" x14ac:dyDescent="0.25">
      <c r="B55" s="415"/>
      <c r="C55" s="428" t="s">
        <v>60</v>
      </c>
      <c r="D55" s="738" t="e" cm="1">
        <f t="array" ref="D55">C_PT495 S_Take_Off_B3</f>
        <v>#NAME?</v>
      </c>
      <c r="E55" s="738"/>
      <c r="F55" s="430" t="e" cm="1">
        <f t="array" ref="F55">C_PT495 S_MAX_CONT_B3</f>
        <v>#NAME?</v>
      </c>
      <c r="G55" s="429" t="s">
        <v>380</v>
      </c>
      <c r="I55" s="428" t="s">
        <v>60</v>
      </c>
      <c r="J55" s="430" t="e" cm="1">
        <f t="array" ref="J55">C_PT495 S_Take_Off_B4</f>
        <v>#NAME?</v>
      </c>
      <c r="K55" s="430" t="e" cm="1">
        <f t="array" ref="K55">C_PT495 S_MAX_CONT_B4</f>
        <v>#NAME?</v>
      </c>
      <c r="L55" s="780" t="s">
        <v>380</v>
      </c>
      <c r="M55" s="781"/>
      <c r="N55" s="407"/>
      <c r="Q55" s="415"/>
      <c r="R55" s="428" t="s">
        <v>60</v>
      </c>
      <c r="S55" s="738" t="e" cm="1">
        <f t="array" ref="S55">C_PT495 S_Take_Off_B7</f>
        <v>#NAME?</v>
      </c>
      <c r="T55" s="738"/>
      <c r="U55" s="430" t="e" cm="1">
        <f t="array" ref="U55">C_PT495 S_MAX_CONT_B7</f>
        <v>#NAME?</v>
      </c>
      <c r="V55" s="429" t="s">
        <v>380</v>
      </c>
      <c r="X55" s="428" t="s">
        <v>60</v>
      </c>
      <c r="Y55" s="430" t="e" cm="1">
        <f t="array" ref="Y55">C_PT495 S_Take_Off_B8</f>
        <v>#NAME?</v>
      </c>
      <c r="Z55" s="430" t="e" cm="1">
        <f t="array" ref="Z55">C_PT495 S_MAX_CONT_B8</f>
        <v>#NAME?</v>
      </c>
      <c r="AA55" s="780" t="s">
        <v>380</v>
      </c>
      <c r="AB55" s="781"/>
      <c r="AC55" s="407"/>
      <c r="AF55" s="415"/>
      <c r="AG55" s="484"/>
      <c r="AH55" s="734"/>
      <c r="AI55" s="734"/>
      <c r="AJ55" s="489"/>
      <c r="AK55" s="491"/>
      <c r="AM55" s="485"/>
      <c r="AN55" s="485"/>
      <c r="AO55" s="485"/>
      <c r="AP55" s="485"/>
      <c r="AQ55" s="485"/>
      <c r="AR55" s="407"/>
    </row>
    <row r="56" spans="2:44" s="60" customFormat="1" ht="16.5" thickBot="1" x14ac:dyDescent="0.3">
      <c r="B56" s="415"/>
      <c r="C56" s="431" t="s">
        <v>22</v>
      </c>
      <c r="D56" s="739" t="e" cm="1">
        <f t="array" ref="D56">C_KSHUNT S_Take_Off_B3</f>
        <v>#NAME?</v>
      </c>
      <c r="E56" s="739"/>
      <c r="F56" s="432" t="e" cm="1">
        <f t="array" ref="F56">C_KSHUNT S_MAX_CONT_B3</f>
        <v>#NAME?</v>
      </c>
      <c r="G56" s="444" t="s">
        <v>0</v>
      </c>
      <c r="I56" s="431" t="s">
        <v>22</v>
      </c>
      <c r="J56" s="432" t="e" cm="1">
        <f t="array" ref="J56">C_KSHUNT S_Take_Off_B4</f>
        <v>#NAME?</v>
      </c>
      <c r="K56" s="432" t="e" cm="1">
        <f t="array" ref="K56">C_KSHUNT S_MAX_CONT_B4</f>
        <v>#NAME?</v>
      </c>
      <c r="L56" s="778" t="s">
        <v>0</v>
      </c>
      <c r="M56" s="779"/>
      <c r="N56" s="407"/>
      <c r="Q56" s="415"/>
      <c r="R56" s="431" t="s">
        <v>22</v>
      </c>
      <c r="S56" s="739" t="e" cm="1">
        <f t="array" ref="S56">C_KSHUNT S_Take_Off_B7</f>
        <v>#NAME?</v>
      </c>
      <c r="T56" s="739"/>
      <c r="U56" s="432" t="e" cm="1">
        <f t="array" ref="U56">C_KSHUNT S_MAX_CONT_B7</f>
        <v>#NAME?</v>
      </c>
      <c r="V56" s="444" t="s">
        <v>0</v>
      </c>
      <c r="X56" s="431" t="s">
        <v>22</v>
      </c>
      <c r="Y56" s="432" t="e" cm="1">
        <f t="array" ref="Y56">C_KSHUNT S_Take_Off_B8</f>
        <v>#NAME?</v>
      </c>
      <c r="Z56" s="432" t="e" cm="1">
        <f t="array" ref="Z56">C_KSHUNT S_MAX_CONT_B8</f>
        <v>#NAME?</v>
      </c>
      <c r="AA56" s="778" t="s">
        <v>0</v>
      </c>
      <c r="AB56" s="779"/>
      <c r="AC56" s="407"/>
      <c r="AF56" s="415"/>
      <c r="AG56" s="484"/>
      <c r="AH56" s="736"/>
      <c r="AI56" s="736"/>
      <c r="AJ56" s="445"/>
      <c r="AK56" s="446"/>
      <c r="AM56" s="485"/>
      <c r="AN56" s="485"/>
      <c r="AO56" s="485"/>
      <c r="AP56" s="485"/>
      <c r="AQ56" s="485"/>
      <c r="AR56" s="407"/>
    </row>
    <row r="57" spans="2:44" s="60" customFormat="1" ht="15.75" x14ac:dyDescent="0.25">
      <c r="B57" s="415"/>
      <c r="C57" s="46"/>
      <c r="D57" s="433"/>
      <c r="E57" s="433"/>
      <c r="F57" s="433"/>
      <c r="G57" s="434"/>
      <c r="I57" s="433"/>
      <c r="J57" s="433"/>
      <c r="K57" s="434"/>
      <c r="L57" s="434"/>
      <c r="N57" s="407"/>
      <c r="Q57" s="415"/>
      <c r="R57" s="46"/>
      <c r="S57" s="433"/>
      <c r="T57" s="433"/>
      <c r="U57" s="433"/>
      <c r="V57" s="434"/>
      <c r="X57" s="433"/>
      <c r="Y57" s="433"/>
      <c r="Z57" s="434"/>
      <c r="AA57" s="434"/>
      <c r="AC57" s="407"/>
      <c r="AF57" s="415"/>
      <c r="AG57" s="484"/>
      <c r="AH57" s="433"/>
      <c r="AI57" s="433"/>
      <c r="AJ57" s="433"/>
      <c r="AK57" s="434"/>
      <c r="AM57" s="433"/>
      <c r="AN57" s="433"/>
      <c r="AO57" s="434"/>
      <c r="AP57" s="434"/>
      <c r="AR57" s="407"/>
    </row>
    <row r="58" spans="2:44" s="60" customFormat="1" ht="13.5" thickBot="1" x14ac:dyDescent="0.25">
      <c r="B58" s="435"/>
      <c r="C58" s="154"/>
      <c r="D58" s="436"/>
      <c r="E58" s="436"/>
      <c r="F58" s="436"/>
      <c r="G58" s="437"/>
      <c r="H58" s="438"/>
      <c r="I58" s="436"/>
      <c r="J58" s="436"/>
      <c r="K58" s="437"/>
      <c r="L58" s="437"/>
      <c r="M58" s="438"/>
      <c r="N58" s="439"/>
      <c r="Q58" s="435"/>
      <c r="R58" s="154"/>
      <c r="S58" s="436"/>
      <c r="T58" s="436"/>
      <c r="U58" s="436"/>
      <c r="V58" s="437"/>
      <c r="W58" s="438"/>
      <c r="X58" s="436"/>
      <c r="Y58" s="436"/>
      <c r="Z58" s="437"/>
      <c r="AA58" s="437"/>
      <c r="AB58" s="438"/>
      <c r="AC58" s="439"/>
      <c r="AF58" s="435"/>
      <c r="AG58" s="154"/>
      <c r="AH58" s="436"/>
      <c r="AI58" s="436"/>
      <c r="AJ58" s="436"/>
      <c r="AK58" s="437"/>
      <c r="AL58" s="438"/>
      <c r="AM58" s="436"/>
      <c r="AN58" s="436"/>
      <c r="AO58" s="437"/>
      <c r="AP58" s="437"/>
      <c r="AQ58" s="438"/>
      <c r="AR58" s="439"/>
    </row>
    <row r="59" spans="2:44" s="60" customFormat="1" ht="13.5" thickTop="1" x14ac:dyDescent="0.2">
      <c r="C59" s="46"/>
      <c r="D59" s="433"/>
      <c r="E59" s="433"/>
      <c r="F59" s="433"/>
      <c r="G59" s="434"/>
      <c r="I59" s="433"/>
      <c r="J59" s="433"/>
      <c r="K59" s="434"/>
      <c r="L59" s="434"/>
      <c r="R59" s="46"/>
      <c r="S59" s="433"/>
      <c r="T59" s="433"/>
      <c r="U59" s="433"/>
      <c r="V59" s="434"/>
      <c r="X59" s="433"/>
      <c r="Y59" s="433"/>
      <c r="Z59" s="434"/>
      <c r="AA59" s="434"/>
      <c r="AG59" s="46"/>
      <c r="AH59" s="433"/>
      <c r="AI59" s="433"/>
      <c r="AJ59" s="433"/>
      <c r="AK59" s="434"/>
      <c r="AM59" s="433"/>
      <c r="AN59" s="433"/>
      <c r="AO59" s="434"/>
      <c r="AP59" s="434"/>
    </row>
    <row r="60" spans="2:44" s="60" customFormat="1" ht="13.5" thickBot="1" x14ac:dyDescent="0.25">
      <c r="B60" s="438"/>
      <c r="C60" s="154"/>
      <c r="D60" s="436"/>
      <c r="E60" s="436"/>
      <c r="F60" s="436"/>
      <c r="G60" s="437"/>
      <c r="H60" s="438"/>
      <c r="I60" s="436"/>
      <c r="J60" s="436"/>
      <c r="K60" s="437"/>
      <c r="L60" s="437"/>
      <c r="M60" s="438"/>
      <c r="N60" s="438"/>
      <c r="Q60" s="438"/>
      <c r="R60" s="154"/>
      <c r="S60" s="436"/>
      <c r="T60" s="436"/>
      <c r="U60" s="436"/>
      <c r="V60" s="437"/>
      <c r="W60" s="438"/>
      <c r="X60" s="436"/>
      <c r="Y60" s="436"/>
      <c r="Z60" s="437"/>
      <c r="AA60" s="437"/>
      <c r="AB60" s="438"/>
      <c r="AC60" s="438"/>
      <c r="AF60" s="438"/>
      <c r="AG60" s="154"/>
      <c r="AH60" s="436"/>
      <c r="AI60" s="436"/>
      <c r="AJ60" s="436"/>
      <c r="AK60" s="437"/>
      <c r="AL60" s="438"/>
      <c r="AM60" s="436"/>
      <c r="AN60" s="436"/>
      <c r="AO60" s="437"/>
      <c r="AP60" s="437"/>
      <c r="AQ60" s="438"/>
      <c r="AR60" s="438"/>
    </row>
    <row r="61" spans="2:44" s="60" customFormat="1" ht="13.5" thickTop="1" x14ac:dyDescent="0.2">
      <c r="B61" s="415"/>
      <c r="C61" s="46"/>
      <c r="D61" s="433"/>
      <c r="E61" s="433"/>
      <c r="F61" s="433"/>
      <c r="G61" s="434"/>
      <c r="I61" s="433"/>
      <c r="J61" s="433"/>
      <c r="K61" s="434"/>
      <c r="L61" s="434"/>
      <c r="N61" s="407"/>
      <c r="Q61" s="415"/>
      <c r="R61" s="46"/>
      <c r="S61" s="433"/>
      <c r="T61" s="433"/>
      <c r="U61" s="433"/>
      <c r="V61" s="434"/>
      <c r="X61" s="433"/>
      <c r="Y61" s="433"/>
      <c r="Z61" s="434"/>
      <c r="AA61" s="434"/>
      <c r="AC61" s="407"/>
      <c r="AF61" s="415"/>
      <c r="AG61" s="46"/>
      <c r="AH61" s="433"/>
      <c r="AI61" s="433"/>
      <c r="AJ61" s="433"/>
      <c r="AK61" s="434"/>
      <c r="AM61" s="433"/>
      <c r="AN61" s="433"/>
      <c r="AO61" s="434"/>
      <c r="AP61" s="434"/>
      <c r="AR61" s="407"/>
    </row>
    <row r="62" spans="2:44" s="60" customFormat="1" x14ac:dyDescent="0.2">
      <c r="B62" s="415"/>
      <c r="C62" s="46"/>
      <c r="D62" s="433"/>
      <c r="E62" s="433"/>
      <c r="F62" s="433"/>
      <c r="G62" s="434"/>
      <c r="I62" s="433"/>
      <c r="J62" s="433"/>
      <c r="K62" s="434"/>
      <c r="L62" s="434"/>
      <c r="N62" s="407"/>
      <c r="Q62" s="415"/>
      <c r="R62" s="46"/>
      <c r="S62" s="433"/>
      <c r="T62" s="433"/>
      <c r="U62" s="433"/>
      <c r="V62" s="434"/>
      <c r="X62" s="433"/>
      <c r="Y62" s="433"/>
      <c r="Z62" s="434"/>
      <c r="AA62" s="434"/>
      <c r="AC62" s="407"/>
      <c r="AF62" s="415"/>
      <c r="AG62" s="46"/>
      <c r="AH62" s="433"/>
      <c r="AI62" s="433"/>
      <c r="AJ62" s="433"/>
      <c r="AK62" s="434"/>
      <c r="AM62" s="433"/>
      <c r="AN62" s="433"/>
      <c r="AO62" s="434"/>
      <c r="AP62" s="434"/>
      <c r="AR62" s="407"/>
    </row>
    <row r="63" spans="2:44" s="60" customFormat="1" ht="12.95" customHeight="1" x14ac:dyDescent="0.2">
      <c r="B63" s="415"/>
      <c r="C63" s="737" t="s">
        <v>558</v>
      </c>
      <c r="D63" s="737"/>
      <c r="E63" s="737"/>
      <c r="F63" s="737"/>
      <c r="G63" s="737"/>
      <c r="H63" s="737"/>
      <c r="I63" s="737"/>
      <c r="J63" s="737"/>
      <c r="K63" s="737"/>
      <c r="L63" s="737"/>
      <c r="M63" s="737"/>
      <c r="N63" s="407"/>
      <c r="Q63" s="415"/>
      <c r="R63" s="737" t="s">
        <v>558</v>
      </c>
      <c r="S63" s="737"/>
      <c r="T63" s="737"/>
      <c r="U63" s="737"/>
      <c r="V63" s="737"/>
      <c r="W63" s="737"/>
      <c r="X63" s="737"/>
      <c r="Y63" s="737"/>
      <c r="Z63" s="737"/>
      <c r="AA63" s="737"/>
      <c r="AB63" s="737"/>
      <c r="AC63" s="407"/>
      <c r="AF63" s="415"/>
      <c r="AG63" s="737" t="s">
        <v>558</v>
      </c>
      <c r="AH63" s="737"/>
      <c r="AI63" s="737"/>
      <c r="AJ63" s="737"/>
      <c r="AK63" s="737"/>
      <c r="AL63" s="737"/>
      <c r="AM63" s="737"/>
      <c r="AN63" s="737"/>
      <c r="AO63" s="737"/>
      <c r="AP63" s="737"/>
      <c r="AQ63" s="737"/>
      <c r="AR63" s="407"/>
    </row>
    <row r="64" spans="2:44" s="60" customFormat="1" x14ac:dyDescent="0.2">
      <c r="B64" s="415"/>
      <c r="C64" s="737"/>
      <c r="D64" s="737"/>
      <c r="E64" s="737"/>
      <c r="F64" s="737"/>
      <c r="G64" s="737"/>
      <c r="H64" s="737"/>
      <c r="I64" s="737"/>
      <c r="J64" s="737"/>
      <c r="K64" s="737"/>
      <c r="L64" s="737"/>
      <c r="M64" s="737"/>
      <c r="N64" s="407"/>
      <c r="Q64" s="415"/>
      <c r="R64" s="737"/>
      <c r="S64" s="737"/>
      <c r="T64" s="737"/>
      <c r="U64" s="737"/>
      <c r="V64" s="737"/>
      <c r="W64" s="737"/>
      <c r="X64" s="737"/>
      <c r="Y64" s="737"/>
      <c r="Z64" s="737"/>
      <c r="AA64" s="737"/>
      <c r="AB64" s="737"/>
      <c r="AC64" s="407"/>
      <c r="AF64" s="415"/>
      <c r="AG64" s="737"/>
      <c r="AH64" s="737"/>
      <c r="AI64" s="737"/>
      <c r="AJ64" s="737"/>
      <c r="AK64" s="737"/>
      <c r="AL64" s="737"/>
      <c r="AM64" s="737"/>
      <c r="AN64" s="737"/>
      <c r="AO64" s="737"/>
      <c r="AP64" s="737"/>
      <c r="AQ64" s="737"/>
      <c r="AR64" s="407"/>
    </row>
    <row r="65" spans="2:44" s="60" customFormat="1" ht="14.25" x14ac:dyDescent="0.2">
      <c r="B65" s="415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407"/>
      <c r="Q65" s="415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407"/>
      <c r="AF65" s="415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407"/>
    </row>
    <row r="66" spans="2:44" s="60" customFormat="1" ht="14.25" x14ac:dyDescent="0.2">
      <c r="B66" s="415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407"/>
      <c r="Q66" s="415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407"/>
      <c r="AF66" s="415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407"/>
    </row>
    <row r="67" spans="2:44" s="60" customFormat="1" ht="15" x14ac:dyDescent="0.2">
      <c r="B67" s="415"/>
      <c r="C67" s="440" t="s">
        <v>557</v>
      </c>
      <c r="D67" s="441"/>
      <c r="E67" s="441"/>
      <c r="F67" s="441"/>
      <c r="G67" s="441"/>
      <c r="H67" s="442" t="s">
        <v>296</v>
      </c>
      <c r="I67" s="441"/>
      <c r="J67" s="442" t="s">
        <v>297</v>
      </c>
      <c r="K67" s="441"/>
      <c r="L67" s="441"/>
      <c r="M67" s="441"/>
      <c r="N67" s="407"/>
      <c r="Q67" s="415"/>
      <c r="R67" s="440" t="s">
        <v>557</v>
      </c>
      <c r="S67" s="441"/>
      <c r="T67" s="441"/>
      <c r="U67" s="441"/>
      <c r="V67" s="441"/>
      <c r="W67" s="442" t="s">
        <v>296</v>
      </c>
      <c r="X67" s="441"/>
      <c r="Y67" s="442" t="s">
        <v>297</v>
      </c>
      <c r="Z67" s="441"/>
      <c r="AA67" s="441"/>
      <c r="AB67" s="441"/>
      <c r="AC67" s="407"/>
      <c r="AF67" s="415"/>
      <c r="AG67" s="440" t="s">
        <v>557</v>
      </c>
      <c r="AH67" s="441"/>
      <c r="AI67" s="441"/>
      <c r="AJ67" s="441"/>
      <c r="AK67" s="441"/>
      <c r="AL67" s="442" t="s">
        <v>296</v>
      </c>
      <c r="AM67" s="441"/>
      <c r="AN67" s="442" t="s">
        <v>297</v>
      </c>
      <c r="AO67" s="441"/>
      <c r="AP67" s="441"/>
      <c r="AQ67" s="441"/>
      <c r="AR67" s="407"/>
    </row>
    <row r="68" spans="2:44" s="60" customFormat="1" ht="15" x14ac:dyDescent="0.2">
      <c r="B68" s="415"/>
      <c r="C68" s="440"/>
      <c r="D68" s="443"/>
      <c r="E68" s="443"/>
      <c r="F68" s="443"/>
      <c r="G68" s="443"/>
      <c r="H68" s="442"/>
      <c r="I68" s="443"/>
      <c r="J68" s="442"/>
      <c r="K68" s="443"/>
      <c r="L68" s="443"/>
      <c r="M68" s="443"/>
      <c r="N68" s="407"/>
      <c r="Q68" s="415"/>
      <c r="R68" s="440"/>
      <c r="S68" s="443"/>
      <c r="T68" s="443"/>
      <c r="U68" s="443"/>
      <c r="V68" s="443"/>
      <c r="W68" s="442"/>
      <c r="X68" s="443"/>
      <c r="Y68" s="442"/>
      <c r="Z68" s="443"/>
      <c r="AA68" s="443"/>
      <c r="AB68" s="443"/>
      <c r="AC68" s="407"/>
      <c r="AF68" s="415"/>
      <c r="AG68" s="440"/>
      <c r="AH68" s="443"/>
      <c r="AI68" s="443"/>
      <c r="AJ68" s="443"/>
      <c r="AK68" s="443"/>
      <c r="AL68" s="442"/>
      <c r="AM68" s="443"/>
      <c r="AN68" s="442"/>
      <c r="AO68" s="443"/>
      <c r="AP68" s="443"/>
      <c r="AQ68" s="443"/>
      <c r="AR68" s="407"/>
    </row>
    <row r="69" spans="2:44" s="60" customFormat="1" ht="13.5" thickBot="1" x14ac:dyDescent="0.25">
      <c r="B69" s="435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9"/>
      <c r="Q69" s="435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9"/>
      <c r="AF69" s="435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9"/>
    </row>
    <row r="70" spans="2:44" ht="13.5" thickTop="1" x14ac:dyDescent="0.2"/>
  </sheetData>
  <mergeCells count="244"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  <mergeCell ref="AF1:AR5"/>
    <mergeCell ref="AF8:AH8"/>
    <mergeCell ref="AJ8:AK8"/>
    <mergeCell ref="AM8:AO8"/>
    <mergeCell ref="AQ8:AR8"/>
    <mergeCell ref="AF9:AI9"/>
    <mergeCell ref="AM9:AP9"/>
    <mergeCell ref="AF10:AH10"/>
    <mergeCell ref="AJ10:AK10"/>
    <mergeCell ref="AM10:AO10"/>
    <mergeCell ref="AQ10:AR10"/>
    <mergeCell ref="AF11:AI11"/>
    <mergeCell ref="AM11:AP11"/>
    <mergeCell ref="AF12:AH12"/>
    <mergeCell ref="AJ12:AK12"/>
    <mergeCell ref="AM12:AO12"/>
    <mergeCell ref="AQ12:AR12"/>
    <mergeCell ref="AF13:AI13"/>
    <mergeCell ref="AM13:AP13"/>
    <mergeCell ref="AF14:AH14"/>
    <mergeCell ref="AJ14:AK14"/>
    <mergeCell ref="AM14:AO14"/>
    <mergeCell ref="AQ14:AR14"/>
    <mergeCell ref="AH24:AI24"/>
    <mergeCell ref="AH25:AI25"/>
    <mergeCell ref="AH26:AI26"/>
    <mergeCell ref="AH27:AI27"/>
    <mergeCell ref="AH28:AI28"/>
    <mergeCell ref="AG19:AK19"/>
    <mergeCell ref="AM19:AQ19"/>
    <mergeCell ref="AH20:AK20"/>
    <mergeCell ref="AN20:AQ20"/>
    <mergeCell ref="AH21:AI21"/>
    <mergeCell ref="AP21:AQ21"/>
    <mergeCell ref="AH22:AI22"/>
    <mergeCell ref="AP22:AQ22"/>
    <mergeCell ref="AH23:AI23"/>
    <mergeCell ref="AH43:AI43"/>
    <mergeCell ref="AH44:AI44"/>
    <mergeCell ref="AH45:AI45"/>
    <mergeCell ref="AH46:AI46"/>
    <mergeCell ref="AH47:AI47"/>
    <mergeCell ref="AH34:AI34"/>
    <mergeCell ref="AH35:AI35"/>
    <mergeCell ref="AH42:AI42"/>
    <mergeCell ref="AH29:AI29"/>
    <mergeCell ref="AH30:AI30"/>
    <mergeCell ref="AH31:AI31"/>
    <mergeCell ref="AH32:AI32"/>
    <mergeCell ref="AH33:AI33"/>
    <mergeCell ref="AH53:AI53"/>
    <mergeCell ref="AH54:AI54"/>
    <mergeCell ref="AH55:AI55"/>
    <mergeCell ref="AH56:AI56"/>
    <mergeCell ref="AG63:AQ64"/>
    <mergeCell ref="AH48:AI48"/>
    <mergeCell ref="AH49:AI49"/>
    <mergeCell ref="AH50:AI50"/>
    <mergeCell ref="AH51:AI51"/>
    <mergeCell ref="AH52:AI52"/>
  </mergeCells>
  <conditionalFormatting sqref="C19">
    <cfRule type="notContainsBlanks" dxfId="39" priority="39" stopIfTrue="1">
      <formula>LEN(TRIM(C19))&gt;0</formula>
    </cfRule>
  </conditionalFormatting>
  <conditionalFormatting sqref="I19">
    <cfRule type="notContainsBlanks" dxfId="38" priority="38" stopIfTrue="1">
      <formula>LEN(TRIM(I19))&gt;0</formula>
    </cfRule>
  </conditionalFormatting>
  <conditionalFormatting sqref="A8:A12 A14">
    <cfRule type="notContainsBlanks" dxfId="37" priority="40" stopIfTrue="1">
      <formula>LEN(TRIM(A8))&gt;0</formula>
    </cfRule>
  </conditionalFormatting>
  <conditionalFormatting sqref="A13">
    <cfRule type="notContainsBlanks" dxfId="36" priority="37" stopIfTrue="1">
      <formula>LEN(TRIM(A13))&gt;0</formula>
    </cfRule>
  </conditionalFormatting>
  <conditionalFormatting sqref="B1">
    <cfRule type="notContainsBlanks" dxfId="35" priority="36" stopIfTrue="1">
      <formula>LEN(TRIM(B1))&gt;0</formula>
    </cfRule>
  </conditionalFormatting>
  <conditionalFormatting sqref="B10 B12 B14 E14 E12 E10 E8">
    <cfRule type="notContainsBlanks" dxfId="34" priority="35" stopIfTrue="1">
      <formula>LEN(TRIM(B8))&gt;0</formula>
    </cfRule>
  </conditionalFormatting>
  <conditionalFormatting sqref="B9">
    <cfRule type="notContainsBlanks" dxfId="33" priority="34" stopIfTrue="1">
      <formula>LEN(TRIM(B9))&gt;0</formula>
    </cfRule>
  </conditionalFormatting>
  <conditionalFormatting sqref="B11">
    <cfRule type="notContainsBlanks" dxfId="32" priority="33" stopIfTrue="1">
      <formula>LEN(TRIM(B11))&gt;0</formula>
    </cfRule>
  </conditionalFormatting>
  <conditionalFormatting sqref="B13">
    <cfRule type="notContainsBlanks" dxfId="31" priority="32" stopIfTrue="1">
      <formula>LEN(TRIM(B13))&gt;0</formula>
    </cfRule>
  </conditionalFormatting>
  <conditionalFormatting sqref="B8">
    <cfRule type="notContainsBlanks" dxfId="30" priority="31" stopIfTrue="1">
      <formula>LEN(TRIM(B8))&gt;0</formula>
    </cfRule>
  </conditionalFormatting>
  <conditionalFormatting sqref="I8:L8 I10:L10 I9 L12 I11 I14:L14 I13">
    <cfRule type="notContainsBlanks" dxfId="29" priority="30" stopIfTrue="1">
      <formula>LEN(TRIM(I8))&gt;0</formula>
    </cfRule>
  </conditionalFormatting>
  <conditionalFormatting sqref="I12">
    <cfRule type="notContainsBlanks" dxfId="28" priority="29" stopIfTrue="1">
      <formula>LEN(TRIM(I12))&gt;0</formula>
    </cfRule>
  </conditionalFormatting>
  <conditionalFormatting sqref="C40">
    <cfRule type="notContainsBlanks" dxfId="27" priority="28" stopIfTrue="1">
      <formula>LEN(TRIM(C40))&gt;0</formula>
    </cfRule>
  </conditionalFormatting>
  <conditionalFormatting sqref="I40">
    <cfRule type="notContainsBlanks" dxfId="26" priority="27" stopIfTrue="1">
      <formula>LEN(TRIM(I40))&gt;0</formula>
    </cfRule>
  </conditionalFormatting>
  <conditionalFormatting sqref="R19">
    <cfRule type="notContainsBlanks" dxfId="25" priority="25" stopIfTrue="1">
      <formula>LEN(TRIM(R19))&gt;0</formula>
    </cfRule>
  </conditionalFormatting>
  <conditionalFormatting sqref="X19">
    <cfRule type="notContainsBlanks" dxfId="24" priority="24" stopIfTrue="1">
      <formula>LEN(TRIM(X19))&gt;0</formula>
    </cfRule>
  </conditionalFormatting>
  <conditionalFormatting sqref="P8:P12 P14">
    <cfRule type="notContainsBlanks" dxfId="23" priority="26" stopIfTrue="1">
      <formula>LEN(TRIM(P8))&gt;0</formula>
    </cfRule>
  </conditionalFormatting>
  <conditionalFormatting sqref="P13">
    <cfRule type="notContainsBlanks" dxfId="22" priority="23" stopIfTrue="1">
      <formula>LEN(TRIM(P13))&gt;0</formula>
    </cfRule>
  </conditionalFormatting>
  <conditionalFormatting sqref="Q1">
    <cfRule type="notContainsBlanks" dxfId="21" priority="22" stopIfTrue="1">
      <formula>LEN(TRIM(Q1))&gt;0</formula>
    </cfRule>
  </conditionalFormatting>
  <conditionalFormatting sqref="Q10 Q12 Q14 T14 T12 T10 T8">
    <cfRule type="notContainsBlanks" dxfId="20" priority="21" stopIfTrue="1">
      <formula>LEN(TRIM(Q8))&gt;0</formula>
    </cfRule>
  </conditionalFormatting>
  <conditionalFormatting sqref="Q9">
    <cfRule type="notContainsBlanks" dxfId="19" priority="20" stopIfTrue="1">
      <formula>LEN(TRIM(Q9))&gt;0</formula>
    </cfRule>
  </conditionalFormatting>
  <conditionalFormatting sqref="Q11">
    <cfRule type="notContainsBlanks" dxfId="18" priority="19" stopIfTrue="1">
      <formula>LEN(TRIM(Q11))&gt;0</formula>
    </cfRule>
  </conditionalFormatting>
  <conditionalFormatting sqref="Q13">
    <cfRule type="notContainsBlanks" dxfId="17" priority="18" stopIfTrue="1">
      <formula>LEN(TRIM(Q13))&gt;0</formula>
    </cfRule>
  </conditionalFormatting>
  <conditionalFormatting sqref="Q8">
    <cfRule type="notContainsBlanks" dxfId="16" priority="17" stopIfTrue="1">
      <formula>LEN(TRIM(Q8))&gt;0</formula>
    </cfRule>
  </conditionalFormatting>
  <conditionalFormatting sqref="X8:AA8 X10:AA10 X9 AA12 X11 X14:AA14 X13">
    <cfRule type="notContainsBlanks" dxfId="15" priority="16" stopIfTrue="1">
      <formula>LEN(TRIM(X8))&gt;0</formula>
    </cfRule>
  </conditionalFormatting>
  <conditionalFormatting sqref="X12">
    <cfRule type="notContainsBlanks" dxfId="14" priority="15" stopIfTrue="1">
      <formula>LEN(TRIM(X12))&gt;0</formula>
    </cfRule>
  </conditionalFormatting>
  <conditionalFormatting sqref="R40">
    <cfRule type="notContainsBlanks" dxfId="13" priority="14" stopIfTrue="1">
      <formula>LEN(TRIM(R40))&gt;0</formula>
    </cfRule>
  </conditionalFormatting>
  <conditionalFormatting sqref="X40">
    <cfRule type="notContainsBlanks" dxfId="12" priority="13" stopIfTrue="1">
      <formula>LEN(TRIM(X40))&gt;0</formula>
    </cfRule>
  </conditionalFormatting>
  <conditionalFormatting sqref="AG19">
    <cfRule type="notContainsBlanks" dxfId="11" priority="12" stopIfTrue="1">
      <formula>LEN(TRIM(AG19))&gt;0</formula>
    </cfRule>
  </conditionalFormatting>
  <conditionalFormatting sqref="AM19">
    <cfRule type="notContainsBlanks" dxfId="10" priority="11" stopIfTrue="1">
      <formula>LEN(TRIM(AM19))&gt;0</formula>
    </cfRule>
  </conditionalFormatting>
  <conditionalFormatting sqref="AF1">
    <cfRule type="notContainsBlanks" dxfId="9" priority="10" stopIfTrue="1">
      <formula>LEN(TRIM(AF1))&gt;0</formula>
    </cfRule>
  </conditionalFormatting>
  <conditionalFormatting sqref="AF10 AF12 AF14 AI14 AI12 AI10 AI8">
    <cfRule type="notContainsBlanks" dxfId="8" priority="9" stopIfTrue="1">
      <formula>LEN(TRIM(AF8))&gt;0</formula>
    </cfRule>
  </conditionalFormatting>
  <conditionalFormatting sqref="AF9">
    <cfRule type="notContainsBlanks" dxfId="7" priority="8" stopIfTrue="1">
      <formula>LEN(TRIM(AF9))&gt;0</formula>
    </cfRule>
  </conditionalFormatting>
  <conditionalFormatting sqref="AF11">
    <cfRule type="notContainsBlanks" dxfId="6" priority="7" stopIfTrue="1">
      <formula>LEN(TRIM(AF11))&gt;0</formula>
    </cfRule>
  </conditionalFormatting>
  <conditionalFormatting sqref="AF13">
    <cfRule type="notContainsBlanks" dxfId="5" priority="6" stopIfTrue="1">
      <formula>LEN(TRIM(AF13))&gt;0</formula>
    </cfRule>
  </conditionalFormatting>
  <conditionalFormatting sqref="AF8">
    <cfRule type="notContainsBlanks" dxfId="4" priority="5" stopIfTrue="1">
      <formula>LEN(TRIM(AF8))&gt;0</formula>
    </cfRule>
  </conditionalFormatting>
  <conditionalFormatting sqref="AM8:AP8 AM10:AP10 AM9 AP12 AM11 AM14:AP14 AM13">
    <cfRule type="notContainsBlanks" dxfId="3" priority="4" stopIfTrue="1">
      <formula>LEN(TRIM(AM8))&gt;0</formula>
    </cfRule>
  </conditionalFormatting>
  <conditionalFormatting sqref="AM12">
    <cfRule type="notContainsBlanks" dxfId="2" priority="3" stopIfTrue="1">
      <formula>LEN(TRIM(AM12))&gt;0</formula>
    </cfRule>
  </conditionalFormatting>
  <conditionalFormatting sqref="AG40">
    <cfRule type="notContainsBlanks" dxfId="1" priority="2" stopIfTrue="1">
      <formula>LEN(TRIM(AG40))&gt;0</formula>
    </cfRule>
  </conditionalFormatting>
  <conditionalFormatting sqref="AM40">
    <cfRule type="notContainsBlanks" dxfId="0" priority="1" stopIfTrue="1">
      <formula>LEN(TRIM(AM40))&gt;0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topLeftCell="A22" workbookViewId="0">
      <selection activeCell="C37" sqref="C37"/>
    </sheetView>
  </sheetViews>
  <sheetFormatPr defaultColWidth="11.42578125" defaultRowHeight="12.75" x14ac:dyDescent="0.2"/>
  <cols>
    <col min="1" max="1" width="9.140625" customWidth="1"/>
    <col min="2" max="2" width="25.140625" customWidth="1"/>
    <col min="3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178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38</v>
      </c>
    </row>
    <row r="2" spans="1:7" x14ac:dyDescent="0.2">
      <c r="A2">
        <v>0</v>
      </c>
      <c r="B2" s="37" t="s">
        <v>585</v>
      </c>
      <c r="G2" s="37" t="s">
        <v>585</v>
      </c>
    </row>
    <row r="3" spans="1:7" x14ac:dyDescent="0.2">
      <c r="A3">
        <v>1</v>
      </c>
      <c r="B3" s="37" t="s">
        <v>585</v>
      </c>
      <c r="G3" s="37" t="s">
        <v>585</v>
      </c>
    </row>
    <row r="4" spans="1:7" x14ac:dyDescent="0.2">
      <c r="A4">
        <v>2</v>
      </c>
      <c r="B4" s="37" t="s">
        <v>585</v>
      </c>
      <c r="G4" s="37" t="s">
        <v>585</v>
      </c>
    </row>
    <row r="5" spans="1:7" x14ac:dyDescent="0.2">
      <c r="A5">
        <v>3</v>
      </c>
      <c r="B5" s="37" t="s">
        <v>585</v>
      </c>
      <c r="G5" s="37" t="s">
        <v>585</v>
      </c>
    </row>
    <row r="6" spans="1:7" x14ac:dyDescent="0.2">
      <c r="A6">
        <v>4</v>
      </c>
      <c r="B6" s="37" t="s">
        <v>585</v>
      </c>
      <c r="G6" s="37" t="s">
        <v>585</v>
      </c>
    </row>
    <row r="7" spans="1:7" x14ac:dyDescent="0.2">
      <c r="A7">
        <v>5</v>
      </c>
      <c r="B7" s="37" t="s">
        <v>585</v>
      </c>
      <c r="G7" s="37" t="s">
        <v>585</v>
      </c>
    </row>
    <row r="8" spans="1:7" x14ac:dyDescent="0.2">
      <c r="A8">
        <v>6</v>
      </c>
      <c r="B8" s="37" t="s">
        <v>585</v>
      </c>
      <c r="G8" s="37" t="s">
        <v>585</v>
      </c>
    </row>
    <row r="9" spans="1:7" x14ac:dyDescent="0.2">
      <c r="A9">
        <v>7</v>
      </c>
      <c r="B9" s="37" t="s">
        <v>585</v>
      </c>
      <c r="G9" s="37" t="s">
        <v>585</v>
      </c>
    </row>
    <row r="10" spans="1:7" x14ac:dyDescent="0.2">
      <c r="A10">
        <v>8</v>
      </c>
      <c r="B10" s="37" t="s">
        <v>585</v>
      </c>
      <c r="G10" s="37" t="s">
        <v>585</v>
      </c>
    </row>
    <row r="11" spans="1:7" x14ac:dyDescent="0.2">
      <c r="A11">
        <v>9</v>
      </c>
      <c r="B11" s="37" t="s">
        <v>585</v>
      </c>
      <c r="G11" s="37" t="s">
        <v>585</v>
      </c>
    </row>
    <row r="12" spans="1:7" x14ac:dyDescent="0.2">
      <c r="A12">
        <v>10</v>
      </c>
      <c r="B12" s="37" t="s">
        <v>585</v>
      </c>
      <c r="C12" t="s">
        <v>179</v>
      </c>
      <c r="G12" s="37" t="s">
        <v>585</v>
      </c>
    </row>
    <row r="13" spans="1:7" x14ac:dyDescent="0.2">
      <c r="A13">
        <v>11</v>
      </c>
      <c r="B13" s="37" t="s">
        <v>585</v>
      </c>
      <c r="G13" s="37" t="s">
        <v>585</v>
      </c>
    </row>
    <row r="14" spans="1:7" x14ac:dyDescent="0.2">
      <c r="A14">
        <v>12</v>
      </c>
      <c r="B14" s="37" t="s">
        <v>585</v>
      </c>
      <c r="G14" s="37" t="s">
        <v>585</v>
      </c>
    </row>
    <row r="15" spans="1:7" x14ac:dyDescent="0.2">
      <c r="A15">
        <v>13</v>
      </c>
      <c r="B15" s="37" t="s">
        <v>585</v>
      </c>
      <c r="G15" s="37" t="s">
        <v>585</v>
      </c>
    </row>
    <row r="16" spans="1:7" x14ac:dyDescent="0.2">
      <c r="A16">
        <v>14</v>
      </c>
      <c r="B16" s="37" t="s">
        <v>585</v>
      </c>
      <c r="C16" t="s">
        <v>204</v>
      </c>
      <c r="G16" s="37" t="s">
        <v>585</v>
      </c>
    </row>
    <row r="17" spans="1:7" x14ac:dyDescent="0.2">
      <c r="A17">
        <v>15</v>
      </c>
      <c r="B17" s="37" t="s">
        <v>585</v>
      </c>
      <c r="C17" t="s">
        <v>191</v>
      </c>
      <c r="G17" s="37" t="s">
        <v>585</v>
      </c>
    </row>
    <row r="18" spans="1:7" x14ac:dyDescent="0.2">
      <c r="A18">
        <v>16</v>
      </c>
      <c r="B18" s="37" t="s">
        <v>585</v>
      </c>
      <c r="G18" s="37" t="s">
        <v>585</v>
      </c>
    </row>
    <row r="19" spans="1:7" x14ac:dyDescent="0.2">
      <c r="A19">
        <v>17</v>
      </c>
      <c r="B19" s="37" t="s">
        <v>585</v>
      </c>
      <c r="G19" s="37" t="s">
        <v>585</v>
      </c>
    </row>
    <row r="20" spans="1:7" x14ac:dyDescent="0.2">
      <c r="A20">
        <v>18</v>
      </c>
      <c r="B20" s="37" t="s">
        <v>585</v>
      </c>
      <c r="G20" s="37" t="s">
        <v>585</v>
      </c>
    </row>
    <row r="21" spans="1:7" x14ac:dyDescent="0.2">
      <c r="A21">
        <v>19</v>
      </c>
      <c r="B21" s="37" t="s">
        <v>585</v>
      </c>
      <c r="G21" s="37" t="s">
        <v>585</v>
      </c>
    </row>
    <row r="22" spans="1:7" x14ac:dyDescent="0.2">
      <c r="A22">
        <v>20</v>
      </c>
      <c r="B22" s="37" t="s">
        <v>585</v>
      </c>
      <c r="C22" t="s">
        <v>180</v>
      </c>
      <c r="G22" s="37" t="s">
        <v>585</v>
      </c>
    </row>
    <row r="23" spans="1:7" x14ac:dyDescent="0.2">
      <c r="A23">
        <v>21</v>
      </c>
      <c r="B23" s="37" t="s">
        <v>585</v>
      </c>
      <c r="G23" s="37" t="s">
        <v>585</v>
      </c>
    </row>
    <row r="24" spans="1:7" x14ac:dyDescent="0.2">
      <c r="A24">
        <v>22</v>
      </c>
      <c r="B24" s="37" t="s">
        <v>585</v>
      </c>
      <c r="C24" t="s">
        <v>181</v>
      </c>
      <c r="G24" s="37" t="s">
        <v>585</v>
      </c>
    </row>
    <row r="25" spans="1:7" x14ac:dyDescent="0.2">
      <c r="A25">
        <v>23</v>
      </c>
      <c r="B25" s="37" t="s">
        <v>585</v>
      </c>
      <c r="G25" s="37" t="s">
        <v>585</v>
      </c>
    </row>
    <row r="26" spans="1:7" x14ac:dyDescent="0.2">
      <c r="A26">
        <v>24</v>
      </c>
      <c r="B26" s="37" t="s">
        <v>585</v>
      </c>
      <c r="C26" t="s">
        <v>203</v>
      </c>
      <c r="G26" s="37" t="s">
        <v>585</v>
      </c>
    </row>
    <row r="27" spans="1:7" x14ac:dyDescent="0.2">
      <c r="A27">
        <v>25</v>
      </c>
      <c r="B27" s="37" t="s">
        <v>585</v>
      </c>
      <c r="C27" t="s">
        <v>192</v>
      </c>
      <c r="G27" s="37" t="s">
        <v>585</v>
      </c>
    </row>
    <row r="28" spans="1:7" x14ac:dyDescent="0.2">
      <c r="A28">
        <v>26</v>
      </c>
      <c r="B28" s="37" t="s">
        <v>585</v>
      </c>
      <c r="G28" s="37" t="s">
        <v>585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3" x14ac:dyDescent="0.2">
      <c r="A33">
        <v>31</v>
      </c>
    </row>
    <row r="34" spans="1:3" x14ac:dyDescent="0.2">
      <c r="A34">
        <v>32</v>
      </c>
    </row>
    <row r="35" spans="1:3" x14ac:dyDescent="0.2">
      <c r="A35">
        <v>33</v>
      </c>
    </row>
    <row r="36" spans="1:3" x14ac:dyDescent="0.2">
      <c r="A36">
        <v>34</v>
      </c>
      <c r="C36" t="s">
        <v>202</v>
      </c>
    </row>
    <row r="37" spans="1:3" x14ac:dyDescent="0.2">
      <c r="A37">
        <v>35</v>
      </c>
      <c r="C37" t="s">
        <v>193</v>
      </c>
    </row>
    <row r="38" spans="1:3" x14ac:dyDescent="0.2">
      <c r="A38">
        <v>36</v>
      </c>
    </row>
    <row r="39" spans="1:3" x14ac:dyDescent="0.2">
      <c r="A39">
        <v>37</v>
      </c>
    </row>
    <row r="40" spans="1:3" x14ac:dyDescent="0.2">
      <c r="A40">
        <v>38</v>
      </c>
    </row>
    <row r="41" spans="1:3" x14ac:dyDescent="0.2">
      <c r="A41">
        <v>39</v>
      </c>
    </row>
    <row r="42" spans="1:3" x14ac:dyDescent="0.2">
      <c r="A42">
        <v>40</v>
      </c>
      <c r="C42" t="s">
        <v>182</v>
      </c>
    </row>
    <row r="43" spans="1:3" x14ac:dyDescent="0.2">
      <c r="A43">
        <v>41</v>
      </c>
    </row>
    <row r="44" spans="1:3" x14ac:dyDescent="0.2">
      <c r="A44">
        <v>42</v>
      </c>
    </row>
    <row r="45" spans="1:3" x14ac:dyDescent="0.2">
      <c r="A45">
        <v>43</v>
      </c>
    </row>
    <row r="46" spans="1:3" x14ac:dyDescent="0.2">
      <c r="A46">
        <v>44</v>
      </c>
      <c r="C46" t="s">
        <v>201</v>
      </c>
    </row>
    <row r="47" spans="1:3" x14ac:dyDescent="0.2">
      <c r="A47">
        <v>45</v>
      </c>
      <c r="C47" t="s">
        <v>194</v>
      </c>
    </row>
    <row r="48" spans="1:3" x14ac:dyDescent="0.2">
      <c r="A48">
        <v>46</v>
      </c>
    </row>
    <row r="49" spans="1:3" x14ac:dyDescent="0.2">
      <c r="A49">
        <v>47</v>
      </c>
    </row>
    <row r="50" spans="1:3" x14ac:dyDescent="0.2">
      <c r="A50">
        <v>48</v>
      </c>
    </row>
    <row r="51" spans="1:3" x14ac:dyDescent="0.2">
      <c r="A51">
        <v>49</v>
      </c>
    </row>
    <row r="52" spans="1:3" x14ac:dyDescent="0.2">
      <c r="A52">
        <v>50</v>
      </c>
      <c r="C52" t="s">
        <v>183</v>
      </c>
    </row>
    <row r="53" spans="1:3" x14ac:dyDescent="0.2">
      <c r="A53">
        <v>51</v>
      </c>
    </row>
    <row r="54" spans="1:3" x14ac:dyDescent="0.2">
      <c r="A54">
        <v>52</v>
      </c>
    </row>
    <row r="55" spans="1:3" x14ac:dyDescent="0.2">
      <c r="A55">
        <v>53</v>
      </c>
    </row>
    <row r="56" spans="1:3" x14ac:dyDescent="0.2">
      <c r="A56">
        <v>54</v>
      </c>
    </row>
    <row r="57" spans="1:3" x14ac:dyDescent="0.2">
      <c r="A57">
        <v>55</v>
      </c>
      <c r="C57" t="s">
        <v>486</v>
      </c>
    </row>
    <row r="58" spans="1:3" x14ac:dyDescent="0.2">
      <c r="A58">
        <v>56</v>
      </c>
    </row>
    <row r="59" spans="1:3" x14ac:dyDescent="0.2">
      <c r="A59">
        <v>57</v>
      </c>
    </row>
    <row r="60" spans="1:3" x14ac:dyDescent="0.2">
      <c r="A60">
        <v>58</v>
      </c>
    </row>
    <row r="61" spans="1:3" x14ac:dyDescent="0.2">
      <c r="A61">
        <v>59</v>
      </c>
    </row>
    <row r="62" spans="1:3" x14ac:dyDescent="0.2">
      <c r="A62">
        <v>60</v>
      </c>
      <c r="C62" t="s">
        <v>184</v>
      </c>
    </row>
    <row r="63" spans="1:3" x14ac:dyDescent="0.2">
      <c r="A63">
        <v>61</v>
      </c>
    </row>
    <row r="64" spans="1:3" x14ac:dyDescent="0.2">
      <c r="A64">
        <v>62</v>
      </c>
    </row>
    <row r="65" spans="1:3" x14ac:dyDescent="0.2">
      <c r="A65">
        <v>63</v>
      </c>
    </row>
    <row r="66" spans="1:3" x14ac:dyDescent="0.2">
      <c r="A66">
        <v>64</v>
      </c>
      <c r="C66" t="s">
        <v>200</v>
      </c>
    </row>
    <row r="67" spans="1:3" x14ac:dyDescent="0.2">
      <c r="A67">
        <v>65</v>
      </c>
      <c r="C67" t="s">
        <v>195</v>
      </c>
    </row>
    <row r="68" spans="1:3" x14ac:dyDescent="0.2">
      <c r="A68">
        <v>66</v>
      </c>
    </row>
    <row r="69" spans="1:3" x14ac:dyDescent="0.2">
      <c r="A69">
        <v>67</v>
      </c>
    </row>
    <row r="70" spans="1:3" x14ac:dyDescent="0.2">
      <c r="A70">
        <v>68</v>
      </c>
    </row>
    <row r="71" spans="1:3" x14ac:dyDescent="0.2">
      <c r="A71">
        <v>69</v>
      </c>
    </row>
    <row r="72" spans="1:3" x14ac:dyDescent="0.2">
      <c r="A72">
        <v>70</v>
      </c>
    </row>
    <row r="73" spans="1:3" x14ac:dyDescent="0.2">
      <c r="A73">
        <v>71</v>
      </c>
    </row>
    <row r="74" spans="1:3" x14ac:dyDescent="0.2">
      <c r="A74">
        <v>72</v>
      </c>
    </row>
    <row r="75" spans="1:3" x14ac:dyDescent="0.2">
      <c r="A75">
        <v>73</v>
      </c>
    </row>
    <row r="76" spans="1:3" x14ac:dyDescent="0.2">
      <c r="A76">
        <v>74</v>
      </c>
    </row>
    <row r="77" spans="1:3" x14ac:dyDescent="0.2">
      <c r="A77">
        <v>75</v>
      </c>
      <c r="C77" t="s">
        <v>196</v>
      </c>
    </row>
    <row r="78" spans="1:3" x14ac:dyDescent="0.2">
      <c r="A78">
        <v>76</v>
      </c>
    </row>
    <row r="79" spans="1:3" x14ac:dyDescent="0.2">
      <c r="A79">
        <v>77</v>
      </c>
    </row>
    <row r="80" spans="1:3" x14ac:dyDescent="0.2">
      <c r="A80">
        <v>78</v>
      </c>
    </row>
    <row r="81" spans="1:3" x14ac:dyDescent="0.2">
      <c r="A81">
        <v>79</v>
      </c>
    </row>
    <row r="82" spans="1:3" x14ac:dyDescent="0.2">
      <c r="A82">
        <v>80</v>
      </c>
      <c r="C82" t="s">
        <v>185</v>
      </c>
    </row>
    <row r="83" spans="1:3" x14ac:dyDescent="0.2">
      <c r="A83">
        <v>81</v>
      </c>
    </row>
    <row r="84" spans="1:3" x14ac:dyDescent="0.2">
      <c r="A84">
        <v>82</v>
      </c>
    </row>
    <row r="85" spans="1:3" x14ac:dyDescent="0.2">
      <c r="A85">
        <v>83</v>
      </c>
    </row>
    <row r="86" spans="1:3" x14ac:dyDescent="0.2">
      <c r="A86">
        <v>84</v>
      </c>
    </row>
    <row r="87" spans="1:3" x14ac:dyDescent="0.2">
      <c r="A87">
        <v>85</v>
      </c>
      <c r="C87" t="s">
        <v>197</v>
      </c>
    </row>
    <row r="88" spans="1:3" x14ac:dyDescent="0.2">
      <c r="A88">
        <v>86</v>
      </c>
    </row>
    <row r="89" spans="1:3" x14ac:dyDescent="0.2">
      <c r="A89">
        <v>87</v>
      </c>
    </row>
    <row r="90" spans="1:3" x14ac:dyDescent="0.2">
      <c r="A90">
        <v>88</v>
      </c>
    </row>
    <row r="91" spans="1:3" x14ac:dyDescent="0.2">
      <c r="A91">
        <v>89</v>
      </c>
    </row>
    <row r="92" spans="1:3" x14ac:dyDescent="0.2">
      <c r="A92">
        <v>90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  <c r="C96" t="s">
        <v>199</v>
      </c>
    </row>
    <row r="97" spans="1:8" x14ac:dyDescent="0.2">
      <c r="A97">
        <v>95</v>
      </c>
      <c r="C97" t="s">
        <v>198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86" t="s">
        <v>222</v>
      </c>
      <c r="B111" s="786"/>
      <c r="C111" s="786"/>
      <c r="D111" s="786"/>
      <c r="E111" s="786"/>
      <c r="F111" s="786"/>
      <c r="G111" s="786"/>
      <c r="H111" s="786"/>
    </row>
    <row r="112" spans="1:8" x14ac:dyDescent="0.2">
      <c r="A112" t="s">
        <v>220</v>
      </c>
    </row>
    <row r="113" spans="1:1" x14ac:dyDescent="0.2">
      <c r="A113" t="s">
        <v>221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E6DA6-237F-4FE1-8E24-C43DDF44D03D}">
  <ds:schemaRefs>
    <ds:schemaRef ds:uri="33351251-2813-42b5-ab08-75c6207e265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3eb578e-ab2b-49df-bf6c-390fb9e36938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AE441C-1DD9-4D63-8FC8-E53A2AEE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05317-C3BD-4EC6-8812-9D768D451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TestHeader</vt:lpstr>
      <vt:lpstr>DataSheet</vt:lpstr>
      <vt:lpstr>Perfo 1 rating</vt:lpstr>
      <vt:lpstr>Perfo 2 ratings</vt:lpstr>
      <vt:lpstr>Summary 5B</vt:lpstr>
      <vt:lpstr>Summary 5B1</vt:lpstr>
      <vt:lpstr>Summary 5B2</vt:lpstr>
      <vt:lpstr>Summary 5B3</vt:lpstr>
      <vt:lpstr>Summary 5B4</vt:lpstr>
      <vt:lpstr>Summary 5B5</vt:lpstr>
      <vt:lpstr>Summary 5B6</vt:lpstr>
      <vt:lpstr>Summary 5B7</vt:lpstr>
      <vt:lpstr>Summary 5B8</vt:lpstr>
      <vt:lpstr>Summary 5B9</vt:lpstr>
      <vt:lpstr>RATINGS QUESTION</vt:lpstr>
      <vt:lpstr>Calculation with N1 Modifier</vt:lpstr>
      <vt:lpstr>Performances B1-B2</vt:lpstr>
      <vt:lpstr>Engine Data Validation</vt:lpstr>
      <vt:lpstr>Sheet1</vt:lpstr>
      <vt:lpstr>enum_list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Nicholas Jeffers</cp:lastModifiedBy>
  <cp:lastPrinted>2019-10-24T15:35:01Z</cp:lastPrinted>
  <dcterms:created xsi:type="dcterms:W3CDTF">2013-01-15T16:30:19Z</dcterms:created>
  <dcterms:modified xsi:type="dcterms:W3CDTF">2021-01-22T16:31:30Z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