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dsaero.sharepoint.com/projects/1000/Documents/05.1_MeasEng/350Apps/Engine Config WP/6-Reports/Latest/"/>
    </mc:Choice>
  </mc:AlternateContent>
  <xr:revisionPtr revIDLastSave="810" documentId="8_{9548B51A-FAF4-41DD-BE0B-A98B7C7E1F9F}" xr6:coauthVersionLast="45" xr6:coauthVersionMax="45" xr10:uidLastSave="{B141D187-EC94-49EC-A44D-86779465C93C}"/>
  <bookViews>
    <workbookView xWindow="-15" yWindow="7785" windowWidth="28830" windowHeight="7830" tabRatio="958" firstSheet="1" activeTab="1" xr2:uid="{00000000-000D-0000-FFFF-FFFF00000000}"/>
    <workbookView xWindow="-15" yWindow="-15" windowWidth="28830" windowHeight="7800" firstSheet="8" activeTab="8" xr2:uid="{A1FF4832-87D8-4BF2-AE47-B1A3A76F174E}"/>
  </bookViews>
  <sheets>
    <sheet name="TestHeader" sheetId="3" r:id="rId1"/>
    <sheet name="DataSheet" sheetId="25" r:id="rId2"/>
    <sheet name="Perfo 1 rating" sheetId="9" state="hidden" r:id="rId3"/>
    <sheet name="Perfo 2 ratings" sheetId="5" state="hidden" r:id="rId4"/>
    <sheet name="Summary TO 1" sheetId="6" r:id="rId5"/>
    <sheet name="RATINGS QUESTION" sheetId="24" r:id="rId6"/>
    <sheet name="Calculation with N1 Modifier 7B" sheetId="29" r:id="rId7"/>
    <sheet name="Calculation with N1 Modifier 5B" sheetId="26" state="hidden" r:id="rId8"/>
    <sheet name="Performances TO 1-2" sheetId="11" r:id="rId9"/>
    <sheet name="Engine Data Validation" sheetId="27" r:id="rId10"/>
    <sheet name="Sheet1" sheetId="28" r:id="rId11"/>
    <sheet name="enum_list" sheetId="4" r:id="rId12"/>
  </sheets>
  <definedNames>
    <definedName name="C_Bonus_Workscope">DataSheet!$4:$4</definedName>
    <definedName name="C_CPR">DataSheet!$5:$5</definedName>
    <definedName name="C_CTR">DataSheet!$6:$6</definedName>
    <definedName name="C_DAMV_SEL">DataSheet!$7:$7</definedName>
    <definedName name="C_DASH_NUM">DataSheet!$8:$8</definedName>
    <definedName name="C_DateDays">DataSheet!$9:$9</definedName>
    <definedName name="C_DateTime">DataSheet!$10:$10</definedName>
    <definedName name="C_ECU_Software">DataSheet!$11:$11</definedName>
    <definedName name="C_ECU_TEMP_A">DataSheet!$12:$12</definedName>
    <definedName name="C_ECU_TEMP_B">DataSheet!$13:$13</definedName>
    <definedName name="C_EGT_TRIM">DataSheet!$14:$14</definedName>
    <definedName name="C_EGTHD">DataSheet!$18:$18</definedName>
    <definedName name="C_EGTHD_LIM_MC">DataSheet!$15:$15</definedName>
    <definedName name="C_EGTHD_LIM_TO">DataSheet!$16:$16</definedName>
    <definedName name="C_EGTHD_MARG">DataSheet!$17:$17</definedName>
    <definedName name="C_EGTHDM">DataSheet!$19:$19</definedName>
    <definedName name="C_EGTK">DataSheet!$20:$20</definedName>
    <definedName name="C_EGTKM">DataSheet!$21:$21</definedName>
    <definedName name="C_Engine_Configuration_1">DataSheet!$22:$22</definedName>
    <definedName name="C_Engine_Configuration_2">DataSheet!$23:$23</definedName>
    <definedName name="C_Engine_Configuration_3">DataSheet!$24:$24</definedName>
    <definedName name="C_Engine_Quality_Repair">DataSheet!$25:$25</definedName>
    <definedName name="C_Engine_Rating">DataSheet!$26:$26</definedName>
    <definedName name="C_Engine_Type">DataSheet!$27:$27</definedName>
    <definedName name="C_Engineer_Name">DataSheet!$28:$28</definedName>
    <definedName name="C_EPR">DataSheet!$29:$29</definedName>
    <definedName name="C_ESM_Rev_No">DataSheet!$30:$30</definedName>
    <definedName name="C_EXPN1M">DataSheet!$31:$31</definedName>
    <definedName name="C_FL_AI">DataSheet!$32:$32</definedName>
    <definedName name="C_FL_CHA">DataSheet!$33:$33</definedName>
    <definedName name="C_FL_MC">DataSheet!$34:$34</definedName>
    <definedName name="C_FL_MI">DataSheet!$35:$35</definedName>
    <definedName name="C_FL_RED_CHA">DataSheet!$36:$36</definedName>
    <definedName name="C_FL_RED_CHB">DataSheet!$37:$37</definedName>
    <definedName name="C_FL_TO">DataSheet!$38:$38</definedName>
    <definedName name="C_FL_YEL_CHA">DataSheet!$39:$39</definedName>
    <definedName name="C_FL_YEL_CHB">DataSheet!$40:$40</definedName>
    <definedName name="C_FLAT_RATE">DataSheet!$41:$41</definedName>
    <definedName name="C_FMEGT">DataSheet!$42:$42</definedName>
    <definedName name="C_FMFN">DataSheet!$43:$43</definedName>
    <definedName name="C_FMN2">DataSheet!$44:$44</definedName>
    <definedName name="C_FMV_DMD_A">DataSheet!$47:$47</definedName>
    <definedName name="C_FMV_DMD_B">DataSheet!$48:$48</definedName>
    <definedName name="C_FMV_SEL_A">DataSheet!$45:$45</definedName>
    <definedName name="C_FMV_SEL_B">DataSheet!$46:$46</definedName>
    <definedName name="C_FMW2">DataSheet!$49:$49</definedName>
    <definedName name="C_FMWF">DataSheet!$50:$50</definedName>
    <definedName name="C_FnCorrTC1Avg">DataSheet!$51:$51</definedName>
    <definedName name="C_FnCorrTC2Avg">DataSheet!$52:$52</definedName>
    <definedName name="C_FNK">DataSheet!$57:$57</definedName>
    <definedName name="C_FNK_MC_LO">DataSheet!$53:$53</definedName>
    <definedName name="C_FNK_MC_MAR">DataSheet!$54:$54</definedName>
    <definedName name="C_FNK_TO_LO">DataSheet!$55:$55</definedName>
    <definedName name="C_FNK_TO_MAR">DataSheet!$56:$56</definedName>
    <definedName name="C_FNKM">DataSheet!$58:$58</definedName>
    <definedName name="C_FNnet">DataSheet!$59:$59</definedName>
    <definedName name="C_FPR">DataSheet!$60:$60</definedName>
    <definedName name="C_FuelBurn">DataSheet!$61:$61</definedName>
    <definedName name="C_FuelCons">DataSheet!$63:$63</definedName>
    <definedName name="C_FuelCons_EngTest">DataSheet!$62:$62</definedName>
    <definedName name="C_HPTC_DMD_A">DataSheet!#REF!</definedName>
    <definedName name="C_HPTC_DMD_B">DataSheet!#REF!</definedName>
    <definedName name="C_HPTC_SEL_A">DataSheet!#REF!</definedName>
    <definedName name="C_HPTC_SEL_B">DataSheet!#REF!</definedName>
    <definedName name="C_HUM">DataSheet!#REF!</definedName>
    <definedName name="C_KSHUNT">DataSheet!$64:$64</definedName>
    <definedName name="C_LHV">DataSheet!$65:$65</definedName>
    <definedName name="C_LPTC_DMD_A">DataSheet!$66:$66</definedName>
    <definedName name="C_LPTC_DMD_B">DataSheet!$67:$67</definedName>
    <definedName name="C_LPTC_SEL_A">DataSheet!$68:$68</definedName>
    <definedName name="C_LPTC_SEL_B">DataSheet!$69:$69</definedName>
    <definedName name="C_MOP">DataSheet!$70:$70</definedName>
    <definedName name="C_MOPK">DataSheet!$71:$71</definedName>
    <definedName name="C_MOT">DataSheet!$72:$72</definedName>
    <definedName name="C_N1">DataSheet!$79:$79</definedName>
    <definedName name="C_N1_Ana">DataSheet!$73:$73</definedName>
    <definedName name="C_N1_ECU_CMD_A">DataSheet!$74:$74</definedName>
    <definedName name="C_N1_ECU_CMD_B">DataSheet!$75:$75</definedName>
    <definedName name="C_N1_ECU_MAX">DataSheet!$76:$76</definedName>
    <definedName name="C_N1_IND_A">DataSheet!$80:$80</definedName>
    <definedName name="C_N1_IND_B">DataSheet!$81:$81</definedName>
    <definedName name="C_N1_MOD_LEV">DataSheet!$78:$78</definedName>
    <definedName name="C_N1_MOD_LEV_CA">DataSheet!$77:$77</definedName>
    <definedName name="C_N1_SEL_A">DataSheet!$90:$90</definedName>
    <definedName name="C_N1_SEL_B">DataSheet!$91:$91</definedName>
    <definedName name="C_N1K">DataSheet!$82:$82</definedName>
    <definedName name="C_N1R">DataSheet!$85:$85</definedName>
    <definedName name="C_N1R_MC">DataSheet!$83:$83</definedName>
    <definedName name="C_N1R_TO">DataSheet!$84:$84</definedName>
    <definedName name="C_N1R247">DataSheet!$86:$86</definedName>
    <definedName name="C_N1RDWN">DataSheet!$87:$87</definedName>
    <definedName name="C_N1REF_MC">DataSheet!$88:$88</definedName>
    <definedName name="C_N1REF_TO">DataSheet!$89:$89</definedName>
    <definedName name="C_N2">DataSheet!$95:$95</definedName>
    <definedName name="C_N2_Ana">DataSheet!$92:$92</definedName>
    <definedName name="C_N2_SEL_A">DataSheet!$93:$93</definedName>
    <definedName name="C_N2_SEL_B">DataSheet!$94:$94</definedName>
    <definedName name="C_N2HD_MAR">DataSheet!$96:$96</definedName>
    <definedName name="C_N2HD_TO_HI">DataSheet!$97:$97</definedName>
    <definedName name="C_N2HDM">DataSheet!$98:$98</definedName>
    <definedName name="C_N2K">DataSheet!$99:$99</definedName>
    <definedName name="C_N2KM">DataSheet!$100:$100</definedName>
    <definedName name="C_N2R25">DataSheet!$101:$101</definedName>
    <definedName name="C_N2R2HD">DataSheet!$102:$102</definedName>
    <definedName name="C_N2RDWN">DataSheet!$103:$103</definedName>
    <definedName name="C_OilQty">DataSheet!$104:$104</definedName>
    <definedName name="C_Operator_Name">DataSheet!$105:$105</definedName>
    <definedName name="C_P_Cell_Front">DataSheet!$106:$106</definedName>
    <definedName name="C_P_Cell_Rear">DataSheet!$107:$107</definedName>
    <definedName name="C_P_Fuel">DataSheet!$109:$109</definedName>
    <definedName name="C_P_Fuel_Fac">DataSheet!$108:$108</definedName>
    <definedName name="C_P_OIL_SUPPLY">DataSheet!$110:$110</definedName>
    <definedName name="C_P_Sop_Diff">DataSheet!$111:$111</definedName>
    <definedName name="C_P_Sump">DataSheet!$112:$112</definedName>
    <definedName name="C_P0_SEL_A">DataSheet!$113:$113</definedName>
    <definedName name="C_P0_SEL_B">DataSheet!$114:$114</definedName>
    <definedName name="C_P25_ECU">DataSheet!$115:$115</definedName>
    <definedName name="C_PAMB1">DataSheet!$116:$116</definedName>
    <definedName name="C_PAMB2">DataSheet!$117:$117</definedName>
    <definedName name="C_PANEL_MODE_A">DataSheet!$118:$118</definedName>
    <definedName name="C_PS12_A">DataSheet!$119:$119</definedName>
    <definedName name="C_PS12_B">DataSheet!$120:$120</definedName>
    <definedName name="C_PS13">DataSheet!$122:$122</definedName>
    <definedName name="C_PS13_ECU">DataSheet!$121:$121</definedName>
    <definedName name="C_PS2">DataSheet!$123:$123</definedName>
    <definedName name="C_PS2W">DataSheet!$124:$124</definedName>
    <definedName name="C_PS2W1">DataSheet!$125:$125</definedName>
    <definedName name="C_PS2W2">DataSheet!$126:$126</definedName>
    <definedName name="C_PS2W3">DataSheet!$127:$127</definedName>
    <definedName name="C_PS2W4">DataSheet!$128:$128</definedName>
    <definedName name="C_PS3_SEL_A">DataSheet!$129:$129</definedName>
    <definedName name="C_PS3_SEL_B">DataSheet!$130:$130</definedName>
    <definedName name="C_PS3R_SEL">DataSheet!$131:$131</definedName>
    <definedName name="C_PT17">DataSheet!$136:$136</definedName>
    <definedName name="C_PT17_1">DataSheet!$132:$132</definedName>
    <definedName name="C_PT17_2">DataSheet!$133:$133</definedName>
    <definedName name="C_PT17_3">DataSheet!$134:$134</definedName>
    <definedName name="C_PT17_4">DataSheet!$135:$135</definedName>
    <definedName name="C_PT2_CAL">DataSheet!#REF!</definedName>
    <definedName name="C_Pt2_DIV_PS2">DataSheet!$137:$137</definedName>
    <definedName name="C_PT2_ECU_A">DataSheet!$138:$138</definedName>
    <definedName name="C_PT2_ECU_B">DataSheet!$139:$139</definedName>
    <definedName name="C_PT25">DataSheet!#REF!</definedName>
    <definedName name="C_PT495">DataSheet!$140:$140</definedName>
    <definedName name="C_PT54">DataSheet!$141:$141</definedName>
    <definedName name="C_RAC_SEL">DataSheet!$142:$142</definedName>
    <definedName name="C_RAC_TBV_SEL_A">DataSheet!#REF!</definedName>
    <definedName name="C_RAC_TBV_SEL_B">DataSheet!$143:$143</definedName>
    <definedName name="C_RHFront">DataSheet!$144:$144</definedName>
    <definedName name="C_RHRear">DataSheet!$145:$145</definedName>
    <definedName name="C_RHUM">DataSheet!$146:$146</definedName>
    <definedName name="C_SFCK">DataSheet!#REF!</definedName>
    <definedName name="C_SFCRF">DataSheet!$148:$148</definedName>
    <definedName name="C_SGFuel">DataSheet!$150:$150</definedName>
    <definedName name="C_SGFuel_">DataSheet!$149:$149</definedName>
    <definedName name="C_SPEED_REGULATOR_A">DataSheet!$151:$151</definedName>
    <definedName name="C_T_AFT_ADAPT">DataSheet!$152:$152</definedName>
    <definedName name="C_T_Cell">DataSheet!$161:$161</definedName>
    <definedName name="C_T_Cell_CenPort">DataSheet!$153:$153</definedName>
    <definedName name="C_T_Cell_CenStbd">DataSheet!$154:$154</definedName>
    <definedName name="C_T_Cell_Centre">DataSheet!$155:$155</definedName>
    <definedName name="C_T_Cell_LowMid">DataSheet!$156:$156</definedName>
    <definedName name="C_T_Cell_LowPort">DataSheet!$157:$157</definedName>
    <definedName name="C_T_Cell_UpMid">DataSheet!$158:$158</definedName>
    <definedName name="C_T_Cell_UpPort">DataSheet!$159:$159</definedName>
    <definedName name="C_T_Cell_UpStbd">DataSheet!$160:$160</definedName>
    <definedName name="C_T_COWL_AFT">DataSheet!$162:$162</definedName>
    <definedName name="C_T_COWL_FWD">DataSheet!$163:$163</definedName>
    <definedName name="C_T_Fuel_Fac">DataSheet!$164:$164</definedName>
    <definedName name="C_T_FWD_ADAPT">DataSheet!$165:$165</definedName>
    <definedName name="C_T_Soil">DataSheet!$166:$166</definedName>
    <definedName name="C_T12_ECU_A">DataSheet!$167:$167</definedName>
    <definedName name="C_T12_ECU_B">DataSheet!$168:$168</definedName>
    <definedName name="C_T25_SEL_A">DataSheet!$169:$169</definedName>
    <definedName name="C_T25_SEL_B">DataSheet!$170:$170</definedName>
    <definedName name="C_T3_SEL_A">DataSheet!$171:$171</definedName>
    <definedName name="C_T3_SEL_B">DataSheet!$172:$172</definedName>
    <definedName name="C_T495_SEL_A">DataSheet!$173:$173</definedName>
    <definedName name="C_T495_SEL_B">DataSheet!$174:$174</definedName>
    <definedName name="C_T5_SEL_A">DataSheet!$175:$175</definedName>
    <definedName name="C_T5_SEL_B">DataSheet!$176:$176</definedName>
    <definedName name="C_T54">DataSheet!#REF!</definedName>
    <definedName name="C_tAcc1">DataSheet!$177:$177</definedName>
    <definedName name="C_TAT_SEL">DataSheet!$178:$178</definedName>
    <definedName name="C_TEO_SEL">DataSheet!$179:$179</definedName>
    <definedName name="C_Test_Type">DataSheet!$180:$180</definedName>
    <definedName name="C_THETA_HD">DataSheet!$181:$181</definedName>
    <definedName name="C_TLA">DataSheet!$184:$184</definedName>
    <definedName name="C_TLA_SEL_A">DataSheet!$182:$182</definedName>
    <definedName name="C_TLA_SEL_B">DataSheet!$183:$183</definedName>
    <definedName name="C_TM_ACCEL">DataSheet!$186:$186</definedName>
    <definedName name="C_TM_ACCEL_">DataSheet!$185:$185</definedName>
    <definedName name="C_TOTCPR">DataSheet!$187:$187</definedName>
    <definedName name="C_TPR">DataSheet!$188:$188</definedName>
    <definedName name="C_TRISE">DataSheet!$191:$191</definedName>
    <definedName name="C_TRISE_MC">DataSheet!$189:$189</definedName>
    <definedName name="C_TRISE_TO">DataSheet!$190:$190</definedName>
    <definedName name="C_tRunning">DataSheet!$192:$192</definedName>
    <definedName name="C_TT2">DataSheet!$194:$194</definedName>
    <definedName name="C_TT2_F">DataSheet!$193:$193</definedName>
    <definedName name="C_VBV_DMD_A">DataSheet!$195:$195</definedName>
    <definedName name="C_VBV_DMD_B">DataSheet!$196:$196</definedName>
    <definedName name="C_VBV_SEL_A">DataSheet!$197:$197</definedName>
    <definedName name="C_VBV_SEL_B">DataSheet!$198:$198</definedName>
    <definedName name="C_Vib1N1Pk">DataSheet!$199:$199</definedName>
    <definedName name="C_Vib1N1PkD">DataSheet!$200:$200</definedName>
    <definedName name="C_Vib1N2Pk">DataSheet!$201:$201</definedName>
    <definedName name="C_Vib1N2PkD">DataSheet!$202:$202</definedName>
    <definedName name="C_Vib2N1Pk">DataSheet!$203:$203</definedName>
    <definedName name="C_Vib2N1PkD">DataSheet!$204:$204</definedName>
    <definedName name="C_Vib2N2Pk">DataSheet!$205:$205</definedName>
    <definedName name="C_Vib2N2PkD">DataSheet!$206:$206</definedName>
    <definedName name="C_VIBN1PAL">DataSheet!$207:$207</definedName>
    <definedName name="C_VIBN1TRF">DataSheet!$208:$208</definedName>
    <definedName name="C_VIBN2PAL">DataSheet!$209:$209</definedName>
    <definedName name="C_VIBN2TRF">DataSheet!$210:$210</definedName>
    <definedName name="C_VSV_DMD_DEG_A">DataSheet!$211:$211</definedName>
    <definedName name="C_VSV_DMD_DEG_B">DataSheet!$212:$212</definedName>
    <definedName name="C_VSV_SEL_A">DataSheet!$213:$213</definedName>
    <definedName name="C_VSV_SEL_B">DataSheet!$214:$214</definedName>
    <definedName name="C_W2K">DataSheet!$215:$215</definedName>
    <definedName name="C_WF_M1Hi">DataSheet!$216:$216</definedName>
    <definedName name="C_WF_M1Lo">DataSheet!$217:$217</definedName>
    <definedName name="C_WF_M2Hi">DataSheet!$218:$218</definedName>
    <definedName name="C_WF_M2Lo">DataSheet!$219:$219</definedName>
    <definedName name="C_WF1">DataSheet!$220:$220</definedName>
    <definedName name="C_WF2">DataSheet!$221:$221</definedName>
    <definedName name="C_WFK">DataSheet!$222:$222</definedName>
    <definedName name="C_WFM_SEL_A">DataSheet!$223:$223</definedName>
    <definedName name="C_WFM_SEL_B">DataSheet!$224:$224</definedName>
    <definedName name="C_XEGT">DataSheet!$225:$225</definedName>
    <definedName name="H_ARCH_DATE">TestHeader!$B$9</definedName>
    <definedName name="H_ARCH_SET_ID">TestHeader!$B$8</definedName>
    <definedName name="H_BONUS_WORKSCOPE">TestHeader!$B$38</definedName>
    <definedName name="H_BOUNS_WORKSCOPE">TestHeader!$B$35</definedName>
    <definedName name="H_BUILD_NO">TestHeader!$B$11</definedName>
    <definedName name="H_CLEANED">TestHeader!$B$15</definedName>
    <definedName name="H_CSN">TestHeader!$B$25</definedName>
    <definedName name="H_CUSTOMER">TestHeader!$B$16</definedName>
    <definedName name="H_CUSTOMER_NAME">TestHeader!$B$40</definedName>
    <definedName name="H_ECU_PN">TestHeader!$B$32</definedName>
    <definedName name="H_ECU_SOFT">TestHeader!$B$33</definedName>
    <definedName name="H_ENG_CONF">TestHeader!$B$30</definedName>
    <definedName name="H_ENG_CONF_2">TestHeader!$B$43</definedName>
    <definedName name="H_ENG_CONF_3">TestHeader!$B$44</definedName>
    <definedName name="H_ENG_QUALITY_REPAIR">TestHeader!$B$34</definedName>
    <definedName name="H_ENG_RATING">TestHeader!$B$45</definedName>
    <definedName name="H_ENGINE_NAME">TestHeader!$B$7</definedName>
    <definedName name="H_ENGINE_SERIAL_NO">TestHeader!$B$6</definedName>
    <definedName name="H_ENGINE_STANDARD">TestHeader!$B$17</definedName>
    <definedName name="H_ENGINE_TYPE">TestHeader!$B$31</definedName>
    <definedName name="H_ESM_REV_DATE">TestHeader!$B$27</definedName>
    <definedName name="H_ESM_REV_NO">TestHeader!$B$26</definedName>
    <definedName name="H_EXHAUST_NOZZLE">TestHeader!$B$23</definedName>
    <definedName name="H_FIRE_WIRE_1_INSTALLED">TestHeader!$B$28</definedName>
    <definedName name="H_FIRE_WIRE_2_INSTALLED">TestHeader!$B$29</definedName>
    <definedName name="H_LHV">TestHeader!$B$22</definedName>
    <definedName name="H_OIL_TYPE">TestHeader!$B$36</definedName>
    <definedName name="H_SG">TestHeader!$B$20</definedName>
    <definedName name="H_SG_TEMP">TestHeader!$B$21</definedName>
    <definedName name="H_TEST_CELL_NAME">TestHeader!$B$2</definedName>
    <definedName name="H_TEST_CLOSED">TestHeader!$B$18</definedName>
    <definedName name="H_TEST_CLOSED_DATE">TestHeader!$B$19</definedName>
    <definedName name="H_TEST_COMPLETED">TestHeader!$B$39</definedName>
    <definedName name="H_TEST_DATE">TestHeader!$B$5</definedName>
    <definedName name="H_TEST_DESC">TestHeader!$B$10</definedName>
    <definedName name="H_TEST_END_DATE">TestHeader!$B$41</definedName>
    <definedName name="H_TEST_ENG">TestHeader!$B$14</definedName>
    <definedName name="H_TEST_ID">TestHeader!$B$3</definedName>
    <definedName name="H_TEST_NAME">TestHeader!$B$4</definedName>
    <definedName name="H_TEST_OPER1">TestHeader!$B$12</definedName>
    <definedName name="H_TEST_OPER2">TestHeader!$B$13</definedName>
    <definedName name="H_TEST_TRANSFERRED">TestHeader!$B$42</definedName>
    <definedName name="H_TEST_TYPE">TestHeader!$B$37</definedName>
    <definedName name="H_TSN">TestHeader!$B$24</definedName>
    <definedName name="_xlnm.Print_Area" localSheetId="9">'Engine Data Validation'!$A$1:$AD$69</definedName>
    <definedName name="S_Accel">DataSheet!$P:$P</definedName>
    <definedName name="S_Accel_LT">DataSheet!$Q:$Q</definedName>
    <definedName name="S_Accel_LV">DataSheet!$R:$R</definedName>
    <definedName name="S_approach_idle">DataSheet!$J:$J</definedName>
    <definedName name="S_approach_idle_LT">DataSheet!$K:$K</definedName>
    <definedName name="S_approach_idle_LV">DataSheet!$L:$L</definedName>
    <definedName name="S_maxi_continu1">DataSheet!$AB:$AB</definedName>
    <definedName name="S_maxi_continu1_LT">DataSheet!$AC:$AC</definedName>
    <definedName name="S_maxi_continu1_LV">DataSheet!$AD:$AD</definedName>
    <definedName name="S_maxi_continu2">DataSheet!$Y:$Y</definedName>
    <definedName name="S_maxi_continu2_LT">DataSheet!$Z:$Z</definedName>
    <definedName name="S_maxi_continu2_LV">DataSheet!$AA:$AA</definedName>
    <definedName name="S_maxi_continu3">DataSheet!$AQ:$AQ</definedName>
    <definedName name="S_maxi_continu3_LT">DataSheet!$AR:$AR</definedName>
    <definedName name="S_maxi_continu3_LV">DataSheet!$AS:$AS</definedName>
    <definedName name="S_maxi_continu4">DataSheet!$AH:$AH</definedName>
    <definedName name="S_maxi_continu4_LT">DataSheet!$AI:$AI</definedName>
    <definedName name="S_maxi_continu4_LV">DataSheet!$AJ:$AJ</definedName>
    <definedName name="S_maxi_continu5">DataSheet!$AT:$AT</definedName>
    <definedName name="S_maxi_continu5_LT">DataSheet!$AU:$AU</definedName>
    <definedName name="S_maxi_continu5_LV">DataSheet!$AV:$AV</definedName>
    <definedName name="S_mini_idle">DataSheet!$AW:$AW</definedName>
    <definedName name="S_mini_idle_LT">DataSheet!$AX:$AX</definedName>
    <definedName name="S_mini_idle_LV">DataSheet!$AY:$AY</definedName>
    <definedName name="S_pic_de_vib">DataSheet!$M:$M</definedName>
    <definedName name="S_pic_de_vib_LT">DataSheet!$N:$N</definedName>
    <definedName name="S_pic_de_vib_LV">DataSheet!$O:$O</definedName>
    <definedName name="S_Shut_D_oil_fuel">DataSheet!$AZ:$AZ</definedName>
    <definedName name="S_Shut_D_oil_fuel_LT">DataSheet!$BA:$BA</definedName>
    <definedName name="S_Shut_D_oil_fuel_LV">DataSheet!$BB:$BB</definedName>
    <definedName name="S_take_off1">DataSheet!$V:$V</definedName>
    <definedName name="S_take_off1_LT">DataSheet!$W:$W</definedName>
    <definedName name="S_take_off1_LV">DataSheet!$X:$X</definedName>
    <definedName name="S_take_off2">DataSheet!$S:$S</definedName>
    <definedName name="S_take_off2_LT">DataSheet!$T:$T</definedName>
    <definedName name="S_take_off2_LV">DataSheet!$U:$U</definedName>
    <definedName name="S_take_off3">DataSheet!$AK:$AK</definedName>
    <definedName name="S_take_off3_LT">DataSheet!$AL:$AL</definedName>
    <definedName name="S_take_off3_LV">DataSheet!$AM:$AM</definedName>
    <definedName name="S_take_off4">DataSheet!$AE:$AE</definedName>
    <definedName name="S_take_off4_LT">DataSheet!$AF:$AF</definedName>
    <definedName name="S_take_off4_LV">DataSheet!$AG:$AG</definedName>
    <definedName name="S_take_off5">DataSheet!$AN:$AN</definedName>
    <definedName name="S_take_off5_LT">DataSheet!$AO:$AO</definedName>
    <definedName name="S_take_off5_LV">DataSheet!$AP:$AP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8" i="6" l="1" a="1"/>
  <c r="H48" i="6" s="1"/>
  <c r="H47" i="6" a="1"/>
  <c r="H47" i="6" s="1"/>
  <c r="H43" i="6" a="1"/>
  <c r="H43" i="6" s="1"/>
  <c r="H41" i="6" a="1"/>
  <c r="H41" i="6" s="1"/>
  <c r="H40" i="6" a="1"/>
  <c r="H40" i="6" s="1"/>
  <c r="H38" i="6" a="1"/>
  <c r="H38" i="6" s="1"/>
  <c r="H33" i="6" a="1"/>
  <c r="H33" i="6" s="1"/>
  <c r="H25" i="6" a="1"/>
  <c r="H25" i="6" s="1"/>
  <c r="H20" i="6" a="1"/>
  <c r="H20" i="6" s="1"/>
  <c r="D27" i="6" a="1"/>
  <c r="D27" i="6" s="1"/>
  <c r="D26" i="6" a="1"/>
  <c r="D26" i="6" s="1"/>
  <c r="D21" i="6" a="1"/>
  <c r="D21" i="6" s="1"/>
  <c r="D28" i="6" a="1"/>
  <c r="D28" i="6" s="1"/>
  <c r="I27" i="6" a="1"/>
  <c r="I27" i="6" s="1"/>
  <c r="I24" i="6" a="1"/>
  <c r="I24" i="6" s="1"/>
  <c r="I25" i="6" a="1"/>
  <c r="I25" i="6" s="1"/>
  <c r="G25" i="6" a="1"/>
  <c r="G25" i="6" s="1"/>
  <c r="F25" i="6" a="1"/>
  <c r="F25" i="6" s="1"/>
  <c r="E25" i="6" a="1"/>
  <c r="E25" i="6" s="1"/>
  <c r="D25" i="6" a="1"/>
  <c r="D25" i="6" s="1"/>
  <c r="J25" i="6" a="1"/>
  <c r="J25" i="6" s="1"/>
  <c r="G20" i="6" a="1"/>
  <c r="G20" i="6" s="1"/>
  <c r="J23" i="6" a="1"/>
  <c r="J23" i="6" s="1"/>
  <c r="J20" i="6" a="1"/>
  <c r="J20" i="6" s="1"/>
  <c r="J19" i="6" a="1"/>
  <c r="J19" i="6" s="1"/>
  <c r="F20" i="6" a="1"/>
  <c r="F20" i="6" s="1"/>
  <c r="D23" i="6" a="1"/>
  <c r="D23" i="6" s="1"/>
  <c r="D22" i="6" a="1"/>
  <c r="D22" i="6" s="1"/>
  <c r="I22" i="6" a="1"/>
  <c r="I22" i="6" s="1"/>
  <c r="I20" i="6" a="1"/>
  <c r="I20" i="6" s="1"/>
  <c r="I19" i="6" a="1"/>
  <c r="I19" i="6" s="1"/>
  <c r="B25" i="6" a="1"/>
  <c r="B25" i="6" s="1"/>
  <c r="E20" i="6" a="1"/>
  <c r="E20" i="6" s="1"/>
  <c r="A26" i="6" a="1"/>
  <c r="A26" i="6" s="1"/>
  <c r="A21" i="6" a="1"/>
  <c r="A21" i="6" s="1"/>
  <c r="B20" i="6" a="1"/>
  <c r="B20" i="6" s="1"/>
  <c r="D20" i="6" a="1"/>
  <c r="D20" i="6" s="1"/>
  <c r="C6" i="6" l="1"/>
  <c r="R80" i="29" l="1"/>
  <c r="O80" i="29" s="1"/>
  <c r="R79" i="29"/>
  <c r="N79" i="29" s="1"/>
  <c r="R78" i="29"/>
  <c r="N78" i="29" s="1"/>
  <c r="R77" i="29"/>
  <c r="R76" i="29"/>
  <c r="O76" i="29" s="1"/>
  <c r="R75" i="29"/>
  <c r="O75" i="29" s="1"/>
  <c r="R74" i="29"/>
  <c r="O74" i="29" s="1"/>
  <c r="R73" i="29"/>
  <c r="R72" i="29"/>
  <c r="O72" i="29" s="1"/>
  <c r="C54" i="29"/>
  <c r="E67" i="29" s="1"/>
  <c r="C53" i="29"/>
  <c r="AQ66" i="29" s="1"/>
  <c r="C52" i="29"/>
  <c r="E65" i="29" s="1"/>
  <c r="C51" i="29"/>
  <c r="AQ64" i="29" s="1"/>
  <c r="C50" i="29"/>
  <c r="C49" i="29"/>
  <c r="AI62" i="29" s="1"/>
  <c r="C48" i="29"/>
  <c r="AN48" i="29" s="1"/>
  <c r="C47" i="29"/>
  <c r="AI60" i="29" s="1"/>
  <c r="C46" i="29"/>
  <c r="AK46" i="29" s="1"/>
  <c r="G47" i="29" l="1"/>
  <c r="L46" i="29"/>
  <c r="Q47" i="29"/>
  <c r="AI53" i="29"/>
  <c r="V46" i="29"/>
  <c r="L48" i="29"/>
  <c r="AN46" i="29"/>
  <c r="Z47" i="29"/>
  <c r="K49" i="29"/>
  <c r="O54" i="29"/>
  <c r="G53" i="29"/>
  <c r="L66" i="29"/>
  <c r="AI47" i="29"/>
  <c r="T48" i="29"/>
  <c r="Y49" i="29"/>
  <c r="T53" i="29"/>
  <c r="N75" i="29"/>
  <c r="AE49" i="29"/>
  <c r="U53" i="29"/>
  <c r="G49" i="29"/>
  <c r="F53" i="29"/>
  <c r="AF53" i="29"/>
  <c r="Y60" i="29"/>
  <c r="N74" i="29"/>
  <c r="Q74" i="29" s="1"/>
  <c r="V74" i="29" s="1"/>
  <c r="F76" i="29" s="1"/>
  <c r="F93" i="29" s="1"/>
  <c r="Q75" i="29"/>
  <c r="A49" i="29"/>
  <c r="O79" i="29"/>
  <c r="Q79" i="29" s="1"/>
  <c r="O51" i="29"/>
  <c r="AA51" i="29"/>
  <c r="AO51" i="29"/>
  <c r="E64" i="29"/>
  <c r="K47" i="29"/>
  <c r="T47" i="29"/>
  <c r="AA47" i="29"/>
  <c r="AK47" i="29"/>
  <c r="AD48" i="29"/>
  <c r="Q49" i="29"/>
  <c r="AI49" i="29"/>
  <c r="F51" i="29"/>
  <c r="T51" i="29"/>
  <c r="AF51" i="29"/>
  <c r="L53" i="29"/>
  <c r="Z53" i="29"/>
  <c r="AN53" i="29"/>
  <c r="AI54" i="29"/>
  <c r="Y61" i="29"/>
  <c r="T64" i="29"/>
  <c r="R66" i="29"/>
  <c r="A46" i="29"/>
  <c r="AA46" i="29"/>
  <c r="E47" i="29"/>
  <c r="L47" i="29"/>
  <c r="U47" i="29"/>
  <c r="AE47" i="29"/>
  <c r="AN47" i="29"/>
  <c r="J48" i="29"/>
  <c r="AF48" i="29"/>
  <c r="E49" i="29"/>
  <c r="U49" i="29"/>
  <c r="AK49" i="29"/>
  <c r="G51" i="29"/>
  <c r="U51" i="29"/>
  <c r="AI51" i="29"/>
  <c r="O53" i="29"/>
  <c r="AA53" i="29"/>
  <c r="AO53" i="29"/>
  <c r="Y59" i="29"/>
  <c r="E62" i="29"/>
  <c r="Y64" i="29"/>
  <c r="AL66" i="29"/>
  <c r="O78" i="29"/>
  <c r="A52" i="29" s="1"/>
  <c r="N80" i="29"/>
  <c r="A54" i="29" s="1"/>
  <c r="J46" i="29"/>
  <c r="F47" i="29"/>
  <c r="O47" i="29"/>
  <c r="Y47" i="29"/>
  <c r="AF47" i="29"/>
  <c r="AO47" i="29"/>
  <c r="L51" i="29"/>
  <c r="Z51" i="29"/>
  <c r="AN51" i="29"/>
  <c r="E60" i="29"/>
  <c r="Y62" i="29"/>
  <c r="AN64" i="29"/>
  <c r="N76" i="29"/>
  <c r="A50" i="29" s="1"/>
  <c r="E63" i="29"/>
  <c r="AI50" i="29"/>
  <c r="V50" i="29"/>
  <c r="H50" i="29"/>
  <c r="AF50" i="29"/>
  <c r="R50" i="29"/>
  <c r="E50" i="29"/>
  <c r="AB50" i="29"/>
  <c r="AL52" i="29"/>
  <c r="Y52" i="29"/>
  <c r="L52" i="29"/>
  <c r="AF65" i="29"/>
  <c r="AI52" i="29"/>
  <c r="V52" i="29"/>
  <c r="H52" i="29"/>
  <c r="AB52" i="29"/>
  <c r="L50" i="29"/>
  <c r="AL50" i="29"/>
  <c r="E52" i="29"/>
  <c r="AF52" i="29"/>
  <c r="R67" i="29"/>
  <c r="AD54" i="29"/>
  <c r="T54" i="29"/>
  <c r="J54" i="29"/>
  <c r="AL67" i="29"/>
  <c r="L67" i="29"/>
  <c r="AN54" i="29"/>
  <c r="AA54" i="29"/>
  <c r="Q54" i="29"/>
  <c r="G54" i="29"/>
  <c r="V54" i="29"/>
  <c r="Y67" i="29"/>
  <c r="E59" i="29"/>
  <c r="AI46" i="29"/>
  <c r="Y46" i="29"/>
  <c r="O46" i="29"/>
  <c r="E46" i="29"/>
  <c r="Q46" i="29"/>
  <c r="AD46" i="29"/>
  <c r="AP46" i="29"/>
  <c r="O50" i="29"/>
  <c r="AP50" i="29"/>
  <c r="O52" i="29"/>
  <c r="AP52" i="29"/>
  <c r="E54" i="29"/>
  <c r="Y54" i="29"/>
  <c r="AF67" i="29"/>
  <c r="G46" i="29"/>
  <c r="T46" i="29"/>
  <c r="AF46" i="29"/>
  <c r="E61" i="29"/>
  <c r="AK48" i="29"/>
  <c r="AA48" i="29"/>
  <c r="Q48" i="29"/>
  <c r="G48" i="29"/>
  <c r="AI48" i="29"/>
  <c r="Y48" i="29"/>
  <c r="O48" i="29"/>
  <c r="E48" i="29"/>
  <c r="V48" i="29"/>
  <c r="AP48" i="29"/>
  <c r="Y50" i="29"/>
  <c r="R52" i="29"/>
  <c r="L54" i="29"/>
  <c r="AF54" i="29"/>
  <c r="Y63" i="29"/>
  <c r="J51" i="29"/>
  <c r="P51" i="29"/>
  <c r="V51" i="29"/>
  <c r="AD51" i="29"/>
  <c r="AJ51" i="29"/>
  <c r="AP51" i="29"/>
  <c r="J53" i="29"/>
  <c r="P53" i="29"/>
  <c r="V53" i="29"/>
  <c r="AD53" i="29"/>
  <c r="AJ53" i="29"/>
  <c r="AP53" i="29"/>
  <c r="J64" i="29"/>
  <c r="AD64" i="29"/>
  <c r="Y66" i="29"/>
  <c r="J47" i="29"/>
  <c r="P47" i="29"/>
  <c r="V47" i="29"/>
  <c r="AD47" i="29"/>
  <c r="AJ47" i="29"/>
  <c r="AP47" i="29"/>
  <c r="O49" i="29"/>
  <c r="AA49" i="29"/>
  <c r="AO49" i="29"/>
  <c r="E51" i="29"/>
  <c r="K51" i="29"/>
  <c r="Q51" i="29"/>
  <c r="Y51" i="29"/>
  <c r="AE51" i="29"/>
  <c r="AK51" i="29"/>
  <c r="E53" i="29"/>
  <c r="K53" i="29"/>
  <c r="Q53" i="29"/>
  <c r="Y53" i="29"/>
  <c r="AE53" i="29"/>
  <c r="AK53" i="29"/>
  <c r="O64" i="29"/>
  <c r="AI64" i="29"/>
  <c r="E66" i="29"/>
  <c r="AF66" i="29"/>
  <c r="Q80" i="29"/>
  <c r="AP59" i="29"/>
  <c r="AK59" i="29"/>
  <c r="AF59" i="29"/>
  <c r="AA59" i="29"/>
  <c r="V59" i="29"/>
  <c r="Q59" i="29"/>
  <c r="L59" i="29"/>
  <c r="G59" i="29"/>
  <c r="AO59" i="29"/>
  <c r="AJ59" i="29"/>
  <c r="AE59" i="29"/>
  <c r="Z59" i="29"/>
  <c r="U59" i="29"/>
  <c r="P59" i="29"/>
  <c r="K59" i="29"/>
  <c r="F59" i="29"/>
  <c r="AL59" i="29"/>
  <c r="AB59" i="29"/>
  <c r="R59" i="29"/>
  <c r="H59" i="29"/>
  <c r="AQ59" i="29"/>
  <c r="AG59" i="29"/>
  <c r="W59" i="29"/>
  <c r="M59" i="29"/>
  <c r="H46" i="29"/>
  <c r="M46" i="29"/>
  <c r="R46" i="29"/>
  <c r="W46" i="29"/>
  <c r="AB46" i="29"/>
  <c r="AG46" i="29"/>
  <c r="AL46" i="29"/>
  <c r="AQ46" i="29"/>
  <c r="AP61" i="29"/>
  <c r="AK61" i="29"/>
  <c r="AF61" i="29"/>
  <c r="AA61" i="29"/>
  <c r="V61" i="29"/>
  <c r="Q61" i="29"/>
  <c r="L61" i="29"/>
  <c r="G61" i="29"/>
  <c r="AO61" i="29"/>
  <c r="AJ61" i="29"/>
  <c r="AE61" i="29"/>
  <c r="Z61" i="29"/>
  <c r="U61" i="29"/>
  <c r="P61" i="29"/>
  <c r="K61" i="29"/>
  <c r="F61" i="29"/>
  <c r="AL61" i="29"/>
  <c r="AB61" i="29"/>
  <c r="R61" i="29"/>
  <c r="H61" i="29"/>
  <c r="AQ61" i="29"/>
  <c r="AG61" i="29"/>
  <c r="W61" i="29"/>
  <c r="M61" i="29"/>
  <c r="H48" i="29"/>
  <c r="M48" i="29"/>
  <c r="R48" i="29"/>
  <c r="W48" i="29"/>
  <c r="AB48" i="29"/>
  <c r="AG48" i="29"/>
  <c r="AL48" i="29"/>
  <c r="AQ48" i="29"/>
  <c r="F49" i="29"/>
  <c r="L49" i="29"/>
  <c r="T49" i="29"/>
  <c r="Z49" i="29"/>
  <c r="AF49" i="29"/>
  <c r="AN49" i="29"/>
  <c r="AP63" i="29"/>
  <c r="AK63" i="29"/>
  <c r="AF63" i="29"/>
  <c r="AA63" i="29"/>
  <c r="V63" i="29"/>
  <c r="Q63" i="29"/>
  <c r="L63" i="29"/>
  <c r="G63" i="29"/>
  <c r="AO63" i="29"/>
  <c r="AJ63" i="29"/>
  <c r="AE63" i="29"/>
  <c r="Z63" i="29"/>
  <c r="U63" i="29"/>
  <c r="P63" i="29"/>
  <c r="K63" i="29"/>
  <c r="F63" i="29"/>
  <c r="AL63" i="29"/>
  <c r="AB63" i="29"/>
  <c r="R63" i="29"/>
  <c r="H63" i="29"/>
  <c r="AO50" i="29"/>
  <c r="AJ50" i="29"/>
  <c r="AE50" i="29"/>
  <c r="Z50" i="29"/>
  <c r="U50" i="29"/>
  <c r="P50" i="29"/>
  <c r="K50" i="29"/>
  <c r="F50" i="29"/>
  <c r="AQ63" i="29"/>
  <c r="AG63" i="29"/>
  <c r="W63" i="29"/>
  <c r="M63" i="29"/>
  <c r="J50" i="29"/>
  <c r="Q50" i="29"/>
  <c r="W50" i="29"/>
  <c r="AD50" i="29"/>
  <c r="AK50" i="29"/>
  <c r="AQ50" i="29"/>
  <c r="AO65" i="29"/>
  <c r="AJ65" i="29"/>
  <c r="AE65" i="29"/>
  <c r="Z65" i="29"/>
  <c r="U65" i="29"/>
  <c r="P65" i="29"/>
  <c r="K65" i="29"/>
  <c r="F65" i="29"/>
  <c r="AP65" i="29"/>
  <c r="AI65" i="29"/>
  <c r="AB65" i="29"/>
  <c r="V65" i="29"/>
  <c r="O65" i="29"/>
  <c r="H65" i="29"/>
  <c r="AN65" i="29"/>
  <c r="AG65" i="29"/>
  <c r="AA65" i="29"/>
  <c r="T65" i="29"/>
  <c r="M65" i="29"/>
  <c r="G65" i="29"/>
  <c r="AK65" i="29"/>
  <c r="W65" i="29"/>
  <c r="J65" i="29"/>
  <c r="AO52" i="29"/>
  <c r="AJ52" i="29"/>
  <c r="AE52" i="29"/>
  <c r="Z52" i="29"/>
  <c r="U52" i="29"/>
  <c r="P52" i="29"/>
  <c r="K52" i="29"/>
  <c r="F52" i="29"/>
  <c r="AQ65" i="29"/>
  <c r="AD65" i="29"/>
  <c r="Q65" i="29"/>
  <c r="J52" i="29"/>
  <c r="Q52" i="29"/>
  <c r="W52" i="29"/>
  <c r="AD52" i="29"/>
  <c r="AK52" i="29"/>
  <c r="AQ52" i="29"/>
  <c r="J59" i="29"/>
  <c r="AD59" i="29"/>
  <c r="J60" i="29"/>
  <c r="AD60" i="29"/>
  <c r="J61" i="29"/>
  <c r="AD61" i="29"/>
  <c r="J62" i="29"/>
  <c r="AD62" i="29"/>
  <c r="J63" i="29"/>
  <c r="AD63" i="29"/>
  <c r="L65" i="29"/>
  <c r="AL65" i="29"/>
  <c r="O59" i="29"/>
  <c r="AI59" i="29"/>
  <c r="O60" i="29"/>
  <c r="O61" i="29"/>
  <c r="AI61" i="29"/>
  <c r="O62" i="29"/>
  <c r="O63" i="29"/>
  <c r="AI63" i="29"/>
  <c r="R65" i="29"/>
  <c r="F46" i="29"/>
  <c r="K46" i="29"/>
  <c r="P46" i="29"/>
  <c r="U46" i="29"/>
  <c r="Z46" i="29"/>
  <c r="AE46" i="29"/>
  <c r="AJ46" i="29"/>
  <c r="AO46" i="29"/>
  <c r="AP60" i="29"/>
  <c r="AK60" i="29"/>
  <c r="AF60" i="29"/>
  <c r="AA60" i="29"/>
  <c r="V60" i="29"/>
  <c r="Q60" i="29"/>
  <c r="L60" i="29"/>
  <c r="G60" i="29"/>
  <c r="AO60" i="29"/>
  <c r="AJ60" i="29"/>
  <c r="AE60" i="29"/>
  <c r="Z60" i="29"/>
  <c r="U60" i="29"/>
  <c r="P60" i="29"/>
  <c r="K60" i="29"/>
  <c r="F60" i="29"/>
  <c r="AL60" i="29"/>
  <c r="AB60" i="29"/>
  <c r="R60" i="29"/>
  <c r="H60" i="29"/>
  <c r="AQ60" i="29"/>
  <c r="AG60" i="29"/>
  <c r="W60" i="29"/>
  <c r="M60" i="29"/>
  <c r="H47" i="29"/>
  <c r="M47" i="29"/>
  <c r="R47" i="29"/>
  <c r="W47" i="29"/>
  <c r="AB47" i="29"/>
  <c r="AG47" i="29"/>
  <c r="AL47" i="29"/>
  <c r="AQ47" i="29"/>
  <c r="F48" i="29"/>
  <c r="K48" i="29"/>
  <c r="P48" i="29"/>
  <c r="U48" i="29"/>
  <c r="Z48" i="29"/>
  <c r="AE48" i="29"/>
  <c r="AJ48" i="29"/>
  <c r="AO48" i="29"/>
  <c r="AP62" i="29"/>
  <c r="AK62" i="29"/>
  <c r="AF62" i="29"/>
  <c r="AA62" i="29"/>
  <c r="V62" i="29"/>
  <c r="Q62" i="29"/>
  <c r="L62" i="29"/>
  <c r="G62" i="29"/>
  <c r="AO62" i="29"/>
  <c r="AJ62" i="29"/>
  <c r="AE62" i="29"/>
  <c r="Z62" i="29"/>
  <c r="U62" i="29"/>
  <c r="P62" i="29"/>
  <c r="K62" i="29"/>
  <c r="F62" i="29"/>
  <c r="AL62" i="29"/>
  <c r="AB62" i="29"/>
  <c r="R62" i="29"/>
  <c r="H62" i="29"/>
  <c r="AQ49" i="29"/>
  <c r="AL49" i="29"/>
  <c r="AG49" i="29"/>
  <c r="AB49" i="29"/>
  <c r="W49" i="29"/>
  <c r="R49" i="29"/>
  <c r="M49" i="29"/>
  <c r="H49" i="29"/>
  <c r="AQ62" i="29"/>
  <c r="AG62" i="29"/>
  <c r="W62" i="29"/>
  <c r="M62" i="29"/>
  <c r="J49" i="29"/>
  <c r="P49" i="29"/>
  <c r="V49" i="29"/>
  <c r="AD49" i="29"/>
  <c r="AJ49" i="29"/>
  <c r="AP49" i="29"/>
  <c r="G50" i="29"/>
  <c r="M50" i="29"/>
  <c r="T50" i="29"/>
  <c r="AA50" i="29"/>
  <c r="AG50" i="29"/>
  <c r="AN50" i="29"/>
  <c r="G52" i="29"/>
  <c r="M52" i="29"/>
  <c r="T52" i="29"/>
  <c r="AA52" i="29"/>
  <c r="AG52" i="29"/>
  <c r="AN52" i="29"/>
  <c r="T59" i="29"/>
  <c r="AN59" i="29"/>
  <c r="T60" i="29"/>
  <c r="AN60" i="29"/>
  <c r="T61" i="29"/>
  <c r="AN61" i="29"/>
  <c r="T62" i="29"/>
  <c r="AN62" i="29"/>
  <c r="T63" i="29"/>
  <c r="AN63" i="29"/>
  <c r="Y65" i="29"/>
  <c r="AP67" i="29"/>
  <c r="AO67" i="29"/>
  <c r="AJ67" i="29"/>
  <c r="AE67" i="29"/>
  <c r="Z67" i="29"/>
  <c r="U67" i="29"/>
  <c r="P67" i="29"/>
  <c r="K67" i="29"/>
  <c r="F67" i="29"/>
  <c r="AQ67" i="29"/>
  <c r="Z80" i="29" s="1"/>
  <c r="L80" i="29" s="1"/>
  <c r="L94" i="29" s="1"/>
  <c r="AI67" i="29"/>
  <c r="AB67" i="29"/>
  <c r="V67" i="29"/>
  <c r="O67" i="29"/>
  <c r="H67" i="29"/>
  <c r="AP54" i="29"/>
  <c r="AK54" i="29"/>
  <c r="AN67" i="29"/>
  <c r="W80" i="29" s="1"/>
  <c r="L77" i="29" s="1"/>
  <c r="AG67" i="29"/>
  <c r="AA67" i="29"/>
  <c r="T67" i="29"/>
  <c r="M67" i="29"/>
  <c r="G67" i="29"/>
  <c r="AO54" i="29"/>
  <c r="AJ54" i="29"/>
  <c r="H54" i="29"/>
  <c r="M54" i="29"/>
  <c r="R54" i="29"/>
  <c r="W54" i="29"/>
  <c r="AB54" i="29"/>
  <c r="AG54" i="29"/>
  <c r="AQ54" i="29"/>
  <c r="M64" i="29"/>
  <c r="W64" i="29"/>
  <c r="AG64" i="29"/>
  <c r="Q66" i="29"/>
  <c r="AD66" i="29"/>
  <c r="Q67" i="29"/>
  <c r="AD67" i="29"/>
  <c r="N72" i="29"/>
  <c r="Q72" i="29" s="1"/>
  <c r="Z79" i="29"/>
  <c r="K80" i="29" s="1"/>
  <c r="K94" i="29" s="1"/>
  <c r="AP64" i="29"/>
  <c r="AK64" i="29"/>
  <c r="AF64" i="29"/>
  <c r="AA64" i="29"/>
  <c r="V64" i="29"/>
  <c r="Q64" i="29"/>
  <c r="L64" i="29"/>
  <c r="G64" i="29"/>
  <c r="AO64" i="29"/>
  <c r="AJ64" i="29"/>
  <c r="AE64" i="29"/>
  <c r="Z64" i="29"/>
  <c r="U64" i="29"/>
  <c r="P64" i="29"/>
  <c r="K64" i="29"/>
  <c r="F64" i="29"/>
  <c r="H51" i="29"/>
  <c r="M51" i="29"/>
  <c r="R51" i="29"/>
  <c r="W51" i="29"/>
  <c r="AB51" i="29"/>
  <c r="AG51" i="29"/>
  <c r="AL51" i="29"/>
  <c r="AQ51" i="29"/>
  <c r="AO66" i="29"/>
  <c r="AJ66" i="29"/>
  <c r="AE66" i="29"/>
  <c r="Z66" i="29"/>
  <c r="U66" i="29"/>
  <c r="P66" i="29"/>
  <c r="K66" i="29"/>
  <c r="F66" i="29"/>
  <c r="AP66" i="29"/>
  <c r="AI66" i="29"/>
  <c r="AB66" i="29"/>
  <c r="V66" i="29"/>
  <c r="O66" i="29"/>
  <c r="H66" i="29"/>
  <c r="AN66" i="29"/>
  <c r="AG66" i="29"/>
  <c r="AA66" i="29"/>
  <c r="T66" i="29"/>
  <c r="M66" i="29"/>
  <c r="G66" i="29"/>
  <c r="H53" i="29"/>
  <c r="M53" i="29"/>
  <c r="R53" i="29"/>
  <c r="W53" i="29"/>
  <c r="AB53" i="29"/>
  <c r="AG53" i="29"/>
  <c r="AL53" i="29"/>
  <c r="AQ53" i="29"/>
  <c r="F54" i="29"/>
  <c r="K54" i="29"/>
  <c r="P54" i="29"/>
  <c r="U54" i="29"/>
  <c r="Z54" i="29"/>
  <c r="AE54" i="29"/>
  <c r="AL54" i="29"/>
  <c r="H64" i="29"/>
  <c r="R64" i="29"/>
  <c r="AB64" i="29"/>
  <c r="AL64" i="29"/>
  <c r="J66" i="29"/>
  <c r="W66" i="29"/>
  <c r="AK66" i="29"/>
  <c r="J67" i="29"/>
  <c r="W67" i="29"/>
  <c r="AK67" i="29"/>
  <c r="O77" i="29"/>
  <c r="N77" i="29"/>
  <c r="O73" i="29"/>
  <c r="N73" i="29"/>
  <c r="AJ35" i="27" a="1"/>
  <c r="AJ35" i="27" s="1"/>
  <c r="AJ34" i="27" a="1"/>
  <c r="AJ34" i="27" s="1"/>
  <c r="AJ33" i="27" a="1"/>
  <c r="AJ33" i="27" s="1"/>
  <c r="AJ32" i="27" a="1"/>
  <c r="AJ32" i="27" s="1"/>
  <c r="AJ31" i="27" a="1"/>
  <c r="AJ31" i="27" s="1"/>
  <c r="AJ30" i="27" a="1"/>
  <c r="AJ30" i="27" s="1"/>
  <c r="AJ29" i="27" a="1"/>
  <c r="AJ29" i="27" s="1"/>
  <c r="AJ28" i="27" a="1"/>
  <c r="AJ28" i="27" s="1"/>
  <c r="AJ27" i="27" a="1"/>
  <c r="AJ27" i="27" s="1"/>
  <c r="AJ26" i="27" a="1"/>
  <c r="AJ26" i="27" s="1"/>
  <c r="AJ25" i="27" a="1"/>
  <c r="AJ25" i="27" s="1"/>
  <c r="AJ24" i="27" a="1"/>
  <c r="AJ24" i="27" s="1"/>
  <c r="AJ23" i="27" a="1"/>
  <c r="AJ23" i="27" s="1"/>
  <c r="AJ22" i="27" a="1"/>
  <c r="AJ22" i="27" s="1"/>
  <c r="AH35" i="27" a="1"/>
  <c r="AH35" i="27" s="1"/>
  <c r="AH34" i="27" a="1"/>
  <c r="AH34" i="27" s="1"/>
  <c r="AH33" i="27" a="1"/>
  <c r="AH33" i="27" s="1"/>
  <c r="AH32" i="27" a="1"/>
  <c r="AH32" i="27" s="1"/>
  <c r="AH31" i="27" a="1"/>
  <c r="AH31" i="27" s="1"/>
  <c r="AH30" i="27" a="1"/>
  <c r="AH30" i="27" s="1"/>
  <c r="AH29" i="27" a="1"/>
  <c r="AH29" i="27" s="1"/>
  <c r="AH28" i="27" a="1"/>
  <c r="AH28" i="27" s="1"/>
  <c r="AH27" i="27" a="1"/>
  <c r="AH27" i="27" s="1"/>
  <c r="AH26" i="27" a="1"/>
  <c r="AH26" i="27" s="1"/>
  <c r="AH25" i="27" a="1"/>
  <c r="AH25" i="27" s="1"/>
  <c r="AH24" i="27" a="1"/>
  <c r="AH24" i="27" s="1"/>
  <c r="AH23" i="27" a="1"/>
  <c r="AH23" i="27" s="1"/>
  <c r="AH22" i="27" a="1"/>
  <c r="AH22" i="27" s="1"/>
  <c r="Z56" i="27" a="1"/>
  <c r="Z56" i="27" s="1"/>
  <c r="Y56" i="27" a="1"/>
  <c r="Y56" i="27" s="1"/>
  <c r="U56" i="27" a="1"/>
  <c r="U56" i="27" s="1"/>
  <c r="S56" i="27" a="1"/>
  <c r="S56" i="27" s="1"/>
  <c r="K56" i="27" a="1"/>
  <c r="K56" i="27" s="1"/>
  <c r="J56" i="27" a="1"/>
  <c r="J56" i="27" s="1"/>
  <c r="F56" i="27" a="1"/>
  <c r="F56" i="27" s="1"/>
  <c r="D56" i="27" a="1"/>
  <c r="D56" i="27" s="1"/>
  <c r="Z55" i="27" a="1"/>
  <c r="Z55" i="27" s="1"/>
  <c r="Y55" i="27" a="1"/>
  <c r="Y55" i="27" s="1"/>
  <c r="U55" i="27" a="1"/>
  <c r="U55" i="27" s="1"/>
  <c r="S55" i="27" a="1"/>
  <c r="S55" i="27" s="1"/>
  <c r="K55" i="27" a="1"/>
  <c r="K55" i="27" s="1"/>
  <c r="J55" i="27" a="1"/>
  <c r="J55" i="27" s="1"/>
  <c r="F55" i="27" a="1"/>
  <c r="F55" i="27" s="1"/>
  <c r="D55" i="27" a="1"/>
  <c r="D55" i="27" s="1"/>
  <c r="Z54" i="27" a="1"/>
  <c r="Z54" i="27" s="1"/>
  <c r="Y54" i="27" a="1"/>
  <c r="Y54" i="27" s="1"/>
  <c r="U54" i="27" a="1"/>
  <c r="U54" i="27" s="1"/>
  <c r="S54" i="27" a="1"/>
  <c r="S54" i="27" s="1"/>
  <c r="K54" i="27" a="1"/>
  <c r="K54" i="27" s="1"/>
  <c r="J54" i="27" a="1"/>
  <c r="J54" i="27" s="1"/>
  <c r="F54" i="27" a="1"/>
  <c r="F54" i="27" s="1"/>
  <c r="D54" i="27" a="1"/>
  <c r="D54" i="27" s="1"/>
  <c r="Z53" i="27" a="1"/>
  <c r="Z53" i="27" s="1"/>
  <c r="Y53" i="27" a="1"/>
  <c r="Y53" i="27" s="1"/>
  <c r="U53" i="27" a="1"/>
  <c r="U53" i="27" s="1"/>
  <c r="S53" i="27" a="1"/>
  <c r="S53" i="27" s="1"/>
  <c r="K53" i="27" a="1"/>
  <c r="K53" i="27" s="1"/>
  <c r="J53" i="27" a="1"/>
  <c r="J53" i="27" s="1"/>
  <c r="F53" i="27" a="1"/>
  <c r="F53" i="27" s="1"/>
  <c r="D53" i="27" a="1"/>
  <c r="D53" i="27" s="1"/>
  <c r="Z52" i="27" a="1"/>
  <c r="Z52" i="27" s="1"/>
  <c r="Y52" i="27" a="1"/>
  <c r="Y52" i="27" s="1"/>
  <c r="U52" i="27" a="1"/>
  <c r="U52" i="27" s="1"/>
  <c r="S52" i="27" a="1"/>
  <c r="S52" i="27" s="1"/>
  <c r="K52" i="27" a="1"/>
  <c r="K52" i="27" s="1"/>
  <c r="J52" i="27" a="1"/>
  <c r="J52" i="27" s="1"/>
  <c r="F52" i="27" a="1"/>
  <c r="F52" i="27" s="1"/>
  <c r="D52" i="27" a="1"/>
  <c r="D52" i="27" s="1"/>
  <c r="Z51" i="27" a="1"/>
  <c r="Z51" i="27" s="1"/>
  <c r="Y51" i="27" a="1"/>
  <c r="Y51" i="27" s="1"/>
  <c r="U51" i="27" a="1"/>
  <c r="U51" i="27" s="1"/>
  <c r="S51" i="27" a="1"/>
  <c r="S51" i="27" s="1"/>
  <c r="K51" i="27" a="1"/>
  <c r="K51" i="27" s="1"/>
  <c r="J51" i="27" a="1"/>
  <c r="J51" i="27" s="1"/>
  <c r="F51" i="27" a="1"/>
  <c r="F51" i="27" s="1"/>
  <c r="D51" i="27" a="1"/>
  <c r="D51" i="27" s="1"/>
  <c r="Z50" i="27" a="1"/>
  <c r="Z50" i="27" s="1"/>
  <c r="Y50" i="27" a="1"/>
  <c r="Y50" i="27" s="1"/>
  <c r="U50" i="27" a="1"/>
  <c r="U50" i="27" s="1"/>
  <c r="S50" i="27" a="1"/>
  <c r="S50" i="27" s="1"/>
  <c r="K50" i="27" a="1"/>
  <c r="K50" i="27" s="1"/>
  <c r="J50" i="27" a="1"/>
  <c r="J50" i="27" s="1"/>
  <c r="F50" i="27" a="1"/>
  <c r="F50" i="27" s="1"/>
  <c r="D50" i="27" a="1"/>
  <c r="D50" i="27" s="1"/>
  <c r="Z49" i="27" a="1"/>
  <c r="Z49" i="27" s="1"/>
  <c r="Y49" i="27" a="1"/>
  <c r="Y49" i="27" s="1"/>
  <c r="U49" i="27" a="1"/>
  <c r="U49" i="27" s="1"/>
  <c r="S49" i="27" a="1"/>
  <c r="S49" i="27" s="1"/>
  <c r="K49" i="27" a="1"/>
  <c r="K49" i="27" s="1"/>
  <c r="J49" i="27" a="1"/>
  <c r="J49" i="27" s="1"/>
  <c r="F49" i="27" a="1"/>
  <c r="F49" i="27" s="1"/>
  <c r="D49" i="27" a="1"/>
  <c r="D49" i="27" s="1"/>
  <c r="Z48" i="27" a="1"/>
  <c r="Z48" i="27" s="1"/>
  <c r="Y48" i="27" a="1"/>
  <c r="Y48" i="27" s="1"/>
  <c r="U48" i="27" a="1"/>
  <c r="U48" i="27" s="1"/>
  <c r="S48" i="27" a="1"/>
  <c r="S48" i="27" s="1"/>
  <c r="K48" i="27" a="1"/>
  <c r="K48" i="27" s="1"/>
  <c r="J48" i="27" a="1"/>
  <c r="J48" i="27" s="1"/>
  <c r="F48" i="27" a="1"/>
  <c r="F48" i="27" s="1"/>
  <c r="D48" i="27" a="1"/>
  <c r="D48" i="27" s="1"/>
  <c r="Z47" i="27" a="1"/>
  <c r="Z47" i="27" s="1"/>
  <c r="Y47" i="27" a="1"/>
  <c r="Y47" i="27" s="1"/>
  <c r="U47" i="27" a="1"/>
  <c r="U47" i="27" s="1"/>
  <c r="S47" i="27" a="1"/>
  <c r="S47" i="27" s="1"/>
  <c r="K47" i="27" a="1"/>
  <c r="K47" i="27" s="1"/>
  <c r="J47" i="27" a="1"/>
  <c r="J47" i="27" s="1"/>
  <c r="F47" i="27" a="1"/>
  <c r="F47" i="27" s="1"/>
  <c r="D47" i="27" a="1"/>
  <c r="D47" i="27" s="1"/>
  <c r="Z46" i="27" a="1"/>
  <c r="Z46" i="27" s="1"/>
  <c r="Y46" i="27" a="1"/>
  <c r="Y46" i="27" s="1"/>
  <c r="U46" i="27" a="1"/>
  <c r="U46" i="27" s="1"/>
  <c r="S46" i="27" a="1"/>
  <c r="S46" i="27" s="1"/>
  <c r="K46" i="27" a="1"/>
  <c r="K46" i="27" s="1"/>
  <c r="J46" i="27" a="1"/>
  <c r="J46" i="27" s="1"/>
  <c r="F46" i="27" a="1"/>
  <c r="F46" i="27" s="1"/>
  <c r="D46" i="27" a="1"/>
  <c r="D46" i="27" s="1"/>
  <c r="Z45" i="27" a="1"/>
  <c r="Z45" i="27" s="1"/>
  <c r="Y45" i="27" a="1"/>
  <c r="Y45" i="27" s="1"/>
  <c r="U45" i="27" a="1"/>
  <c r="U45" i="27" s="1"/>
  <c r="S45" i="27" a="1"/>
  <c r="S45" i="27" s="1"/>
  <c r="K45" i="27" a="1"/>
  <c r="K45" i="27" s="1"/>
  <c r="J45" i="27" a="1"/>
  <c r="J45" i="27" s="1"/>
  <c r="F45" i="27" a="1"/>
  <c r="F45" i="27" s="1"/>
  <c r="D45" i="27" a="1"/>
  <c r="D45" i="27" s="1"/>
  <c r="Z44" i="27" a="1"/>
  <c r="Z44" i="27" s="1"/>
  <c r="Y44" i="27" a="1"/>
  <c r="Y44" i="27" s="1"/>
  <c r="U44" i="27" a="1"/>
  <c r="U44" i="27" s="1"/>
  <c r="S44" i="27" a="1"/>
  <c r="S44" i="27" s="1"/>
  <c r="K44" i="27" a="1"/>
  <c r="K44" i="27" s="1"/>
  <c r="J44" i="27" a="1"/>
  <c r="J44" i="27" s="1"/>
  <c r="F44" i="27" a="1"/>
  <c r="F44" i="27" s="1"/>
  <c r="D44" i="27" a="1"/>
  <c r="D44" i="27" s="1"/>
  <c r="Z43" i="27" a="1"/>
  <c r="Z43" i="27" s="1"/>
  <c r="Y43" i="27" a="1"/>
  <c r="Y43" i="27" s="1"/>
  <c r="U43" i="27" a="1"/>
  <c r="U43" i="27" s="1"/>
  <c r="S43" i="27" a="1"/>
  <c r="S43" i="27" s="1"/>
  <c r="K43" i="27" a="1"/>
  <c r="K43" i="27" s="1"/>
  <c r="J43" i="27" a="1"/>
  <c r="J43" i="27" s="1"/>
  <c r="F43" i="27" a="1"/>
  <c r="F43" i="27" s="1"/>
  <c r="D43" i="27" a="1"/>
  <c r="D43" i="27" s="1"/>
  <c r="Y41" i="27" a="1"/>
  <c r="Y41" i="27" s="1"/>
  <c r="S41" i="27" a="1"/>
  <c r="S41" i="27" s="1"/>
  <c r="J41" i="27" a="1"/>
  <c r="J41" i="27" s="1"/>
  <c r="D41" i="27" a="1"/>
  <c r="D41" i="27" s="1"/>
  <c r="Z35" i="27" a="1"/>
  <c r="Z35" i="27" s="1"/>
  <c r="Y35" i="27" a="1"/>
  <c r="Y35" i="27" s="1"/>
  <c r="U35" i="27" a="1"/>
  <c r="U35" i="27" s="1"/>
  <c r="S35" i="27" a="1"/>
  <c r="S35" i="27" s="1"/>
  <c r="K35" i="27" a="1"/>
  <c r="K35" i="27" s="1"/>
  <c r="J35" i="27" a="1"/>
  <c r="J35" i="27" s="1"/>
  <c r="F35" i="27" a="1"/>
  <c r="F35" i="27" s="1"/>
  <c r="D35" i="27" a="1"/>
  <c r="D35" i="27" s="1"/>
  <c r="Z34" i="27" a="1"/>
  <c r="Z34" i="27" s="1"/>
  <c r="Y34" i="27" a="1"/>
  <c r="Y34" i="27" s="1"/>
  <c r="U34" i="27" a="1"/>
  <c r="U34" i="27" s="1"/>
  <c r="S34" i="27" a="1"/>
  <c r="S34" i="27" s="1"/>
  <c r="K34" i="27" a="1"/>
  <c r="K34" i="27" s="1"/>
  <c r="J34" i="27" a="1"/>
  <c r="J34" i="27" s="1"/>
  <c r="F34" i="27" a="1"/>
  <c r="F34" i="27" s="1"/>
  <c r="D34" i="27" a="1"/>
  <c r="D34" i="27" s="1"/>
  <c r="Z33" i="27" a="1"/>
  <c r="Z33" i="27" s="1"/>
  <c r="Y33" i="27" a="1"/>
  <c r="Y33" i="27" s="1"/>
  <c r="U33" i="27" a="1"/>
  <c r="U33" i="27" s="1"/>
  <c r="S33" i="27" a="1"/>
  <c r="S33" i="27" s="1"/>
  <c r="K33" i="27" a="1"/>
  <c r="K33" i="27" s="1"/>
  <c r="J33" i="27" a="1"/>
  <c r="J33" i="27" s="1"/>
  <c r="F33" i="27" a="1"/>
  <c r="F33" i="27" s="1"/>
  <c r="D33" i="27" a="1"/>
  <c r="D33" i="27" s="1"/>
  <c r="Z32" i="27" a="1"/>
  <c r="Z32" i="27" s="1"/>
  <c r="Y32" i="27" a="1"/>
  <c r="Y32" i="27" s="1"/>
  <c r="U32" i="27" a="1"/>
  <c r="U32" i="27" s="1"/>
  <c r="S32" i="27" a="1"/>
  <c r="S32" i="27" s="1"/>
  <c r="K32" i="27" a="1"/>
  <c r="K32" i="27" s="1"/>
  <c r="J32" i="27" a="1"/>
  <c r="J32" i="27" s="1"/>
  <c r="F32" i="27" a="1"/>
  <c r="F32" i="27" s="1"/>
  <c r="D32" i="27" a="1"/>
  <c r="D32" i="27" s="1"/>
  <c r="Z31" i="27" a="1"/>
  <c r="Z31" i="27" s="1"/>
  <c r="Y31" i="27" a="1"/>
  <c r="Y31" i="27" s="1"/>
  <c r="U31" i="27" a="1"/>
  <c r="U31" i="27" s="1"/>
  <c r="S31" i="27" a="1"/>
  <c r="S31" i="27" s="1"/>
  <c r="K31" i="27" a="1"/>
  <c r="K31" i="27" s="1"/>
  <c r="J31" i="27" a="1"/>
  <c r="J31" i="27" s="1"/>
  <c r="F31" i="27" a="1"/>
  <c r="F31" i="27" s="1"/>
  <c r="D31" i="27" a="1"/>
  <c r="D31" i="27" s="1"/>
  <c r="Z30" i="27" a="1"/>
  <c r="Z30" i="27" s="1"/>
  <c r="Y30" i="27" a="1"/>
  <c r="Y30" i="27" s="1"/>
  <c r="U30" i="27" a="1"/>
  <c r="U30" i="27" s="1"/>
  <c r="S30" i="27" a="1"/>
  <c r="S30" i="27" s="1"/>
  <c r="K30" i="27" a="1"/>
  <c r="K30" i="27" s="1"/>
  <c r="J30" i="27" a="1"/>
  <c r="J30" i="27" s="1"/>
  <c r="F30" i="27" a="1"/>
  <c r="F30" i="27" s="1"/>
  <c r="D30" i="27" a="1"/>
  <c r="D30" i="27" s="1"/>
  <c r="Z29" i="27" a="1"/>
  <c r="Z29" i="27" s="1"/>
  <c r="Y29" i="27" a="1"/>
  <c r="Y29" i="27" s="1"/>
  <c r="U29" i="27" a="1"/>
  <c r="U29" i="27" s="1"/>
  <c r="S29" i="27" a="1"/>
  <c r="S29" i="27" s="1"/>
  <c r="K29" i="27" a="1"/>
  <c r="K29" i="27" s="1"/>
  <c r="J29" i="27" a="1"/>
  <c r="J29" i="27" s="1"/>
  <c r="F29" i="27" a="1"/>
  <c r="F29" i="27" s="1"/>
  <c r="D29" i="27" a="1"/>
  <c r="D29" i="27" s="1"/>
  <c r="Z28" i="27" a="1"/>
  <c r="Z28" i="27" s="1"/>
  <c r="Y28" i="27" a="1"/>
  <c r="Y28" i="27" s="1"/>
  <c r="U28" i="27" a="1"/>
  <c r="U28" i="27" s="1"/>
  <c r="S28" i="27" a="1"/>
  <c r="S28" i="27" s="1"/>
  <c r="K28" i="27" a="1"/>
  <c r="K28" i="27" s="1"/>
  <c r="J28" i="27" a="1"/>
  <c r="J28" i="27" s="1"/>
  <c r="F28" i="27" a="1"/>
  <c r="F28" i="27" s="1"/>
  <c r="D28" i="27" a="1"/>
  <c r="D28" i="27" s="1"/>
  <c r="Z27" i="27" a="1"/>
  <c r="Z27" i="27" s="1"/>
  <c r="Y27" i="27" a="1"/>
  <c r="Y27" i="27" s="1"/>
  <c r="U27" i="27" a="1"/>
  <c r="U27" i="27" s="1"/>
  <c r="S27" i="27" a="1"/>
  <c r="S27" i="27" s="1"/>
  <c r="K27" i="27" a="1"/>
  <c r="K27" i="27" s="1"/>
  <c r="J27" i="27" a="1"/>
  <c r="J27" i="27" s="1"/>
  <c r="F27" i="27" a="1"/>
  <c r="F27" i="27" s="1"/>
  <c r="D27" i="27" a="1"/>
  <c r="D27" i="27" s="1"/>
  <c r="Z26" i="27" a="1"/>
  <c r="Z26" i="27" s="1"/>
  <c r="Y26" i="27" a="1"/>
  <c r="Y26" i="27" s="1"/>
  <c r="U26" i="27" a="1"/>
  <c r="U26" i="27" s="1"/>
  <c r="S26" i="27" a="1"/>
  <c r="S26" i="27" s="1"/>
  <c r="K26" i="27" a="1"/>
  <c r="K26" i="27" s="1"/>
  <c r="J26" i="27" a="1"/>
  <c r="J26" i="27" s="1"/>
  <c r="F26" i="27" a="1"/>
  <c r="F26" i="27" s="1"/>
  <c r="D26" i="27" a="1"/>
  <c r="D26" i="27" s="1"/>
  <c r="Z25" i="27" a="1"/>
  <c r="Z25" i="27" s="1"/>
  <c r="Y25" i="27" a="1"/>
  <c r="Y25" i="27" s="1"/>
  <c r="U25" i="27" a="1"/>
  <c r="U25" i="27" s="1"/>
  <c r="S25" i="27" a="1"/>
  <c r="S25" i="27" s="1"/>
  <c r="K25" i="27" a="1"/>
  <c r="K25" i="27" s="1"/>
  <c r="J25" i="27" a="1"/>
  <c r="J25" i="27" s="1"/>
  <c r="F25" i="27" a="1"/>
  <c r="F25" i="27" s="1"/>
  <c r="D25" i="27" a="1"/>
  <c r="D25" i="27" s="1"/>
  <c r="Z24" i="27" a="1"/>
  <c r="Z24" i="27" s="1"/>
  <c r="Y24" i="27" a="1"/>
  <c r="Y24" i="27" s="1"/>
  <c r="U24" i="27" a="1"/>
  <c r="U24" i="27" s="1"/>
  <c r="S24" i="27" a="1"/>
  <c r="S24" i="27" s="1"/>
  <c r="K24" i="27" a="1"/>
  <c r="K24" i="27" s="1"/>
  <c r="J24" i="27" a="1"/>
  <c r="J24" i="27" s="1"/>
  <c r="F24" i="27" a="1"/>
  <c r="F24" i="27" s="1"/>
  <c r="D24" i="27" a="1"/>
  <c r="D24" i="27" s="1"/>
  <c r="Z23" i="27" a="1"/>
  <c r="Z23" i="27" s="1"/>
  <c r="Y23" i="27" a="1"/>
  <c r="Y23" i="27" s="1"/>
  <c r="U23" i="27" a="1"/>
  <c r="U23" i="27" s="1"/>
  <c r="S23" i="27" a="1"/>
  <c r="S23" i="27" s="1"/>
  <c r="K23" i="27" a="1"/>
  <c r="K23" i="27" s="1"/>
  <c r="J23" i="27" a="1"/>
  <c r="J23" i="27" s="1"/>
  <c r="F23" i="27" a="1"/>
  <c r="F23" i="27" s="1"/>
  <c r="D23" i="27" a="1"/>
  <c r="D23" i="27" s="1"/>
  <c r="Z22" i="27" a="1"/>
  <c r="Z22" i="27" s="1"/>
  <c r="Y22" i="27" a="1"/>
  <c r="Y22" i="27" s="1"/>
  <c r="U22" i="27" a="1"/>
  <c r="U22" i="27" s="1"/>
  <c r="S22" i="27" a="1"/>
  <c r="S22" i="27" s="1"/>
  <c r="K22" i="27" a="1"/>
  <c r="K22" i="27" s="1"/>
  <c r="J22" i="27" a="1"/>
  <c r="J22" i="27" s="1"/>
  <c r="F22" i="27" a="1"/>
  <c r="F22" i="27" s="1"/>
  <c r="D22" i="27" a="1"/>
  <c r="D22" i="27" s="1"/>
  <c r="AH20" i="27" a="1"/>
  <c r="AH20" i="27" s="1"/>
  <c r="Y20" i="27" a="1"/>
  <c r="Y20" i="27" s="1"/>
  <c r="S20" i="27" a="1"/>
  <c r="S20" i="27" s="1"/>
  <c r="J20" i="27" a="1"/>
  <c r="J20" i="27" s="1"/>
  <c r="D20" i="27" a="1"/>
  <c r="D20" i="27" s="1"/>
  <c r="N240" i="11" a="1"/>
  <c r="N240" i="11" s="1"/>
  <c r="L240" i="11" a="1"/>
  <c r="L240" i="11" s="1"/>
  <c r="J240" i="11" a="1"/>
  <c r="J240" i="11" s="1"/>
  <c r="H240" i="11" a="1"/>
  <c r="H240" i="11" s="1"/>
  <c r="N239" i="11" a="1"/>
  <c r="N239" i="11" s="1"/>
  <c r="L239" i="11" a="1"/>
  <c r="L239" i="11" s="1"/>
  <c r="J239" i="11" a="1"/>
  <c r="J239" i="11" s="1"/>
  <c r="H239" i="11" a="1"/>
  <c r="H239" i="11" s="1"/>
  <c r="N238" i="11" a="1"/>
  <c r="N238" i="11" s="1"/>
  <c r="L238" i="11" a="1"/>
  <c r="L238" i="11" s="1"/>
  <c r="J238" i="11" a="1"/>
  <c r="J238" i="11" s="1"/>
  <c r="H238" i="11" a="1"/>
  <c r="H238" i="11" s="1"/>
  <c r="N237" i="11" a="1"/>
  <c r="N237" i="11" s="1"/>
  <c r="L237" i="11" a="1"/>
  <c r="L237" i="11" s="1"/>
  <c r="J237" i="11" a="1"/>
  <c r="J237" i="11" s="1"/>
  <c r="H237" i="11" a="1"/>
  <c r="H237" i="11" s="1"/>
  <c r="N236" i="11" a="1"/>
  <c r="N236" i="11" s="1"/>
  <c r="L236" i="11" a="1"/>
  <c r="L236" i="11" s="1"/>
  <c r="J236" i="11" a="1"/>
  <c r="J236" i="11" s="1"/>
  <c r="H236" i="11" a="1"/>
  <c r="H236" i="11" s="1"/>
  <c r="N235" i="11" a="1"/>
  <c r="N235" i="11" s="1"/>
  <c r="L235" i="11" a="1"/>
  <c r="L235" i="11" s="1"/>
  <c r="J235" i="11" a="1"/>
  <c r="J235" i="11" s="1"/>
  <c r="H235" i="11" a="1"/>
  <c r="H235" i="11" s="1"/>
  <c r="N231" i="11" a="1"/>
  <c r="N231" i="11" s="1"/>
  <c r="L231" i="11" a="1"/>
  <c r="L231" i="11" s="1"/>
  <c r="N224" i="11" a="1"/>
  <c r="N224" i="11" s="1"/>
  <c r="L224" i="11" a="1"/>
  <c r="L224" i="11" s="1"/>
  <c r="J224" i="11" a="1"/>
  <c r="J224" i="11" s="1"/>
  <c r="H224" i="11" a="1"/>
  <c r="H224" i="11" s="1"/>
  <c r="N223" i="11" a="1"/>
  <c r="N223" i="11" s="1"/>
  <c r="L223" i="11" a="1"/>
  <c r="L223" i="11" s="1"/>
  <c r="J223" i="11" a="1"/>
  <c r="J223" i="11" s="1"/>
  <c r="H223" i="11" a="1"/>
  <c r="H223" i="11" s="1"/>
  <c r="N222" i="11" a="1"/>
  <c r="N222" i="11" s="1"/>
  <c r="L222" i="11" a="1"/>
  <c r="L222" i="11" s="1"/>
  <c r="J222" i="11" a="1"/>
  <c r="J222" i="11" s="1"/>
  <c r="H222" i="11" a="1"/>
  <c r="H222" i="11" s="1"/>
  <c r="N221" i="11" a="1"/>
  <c r="N221" i="11" s="1"/>
  <c r="L221" i="11" a="1"/>
  <c r="L221" i="11" s="1"/>
  <c r="J221" i="11" a="1"/>
  <c r="J221" i="11" s="1"/>
  <c r="H221" i="11" a="1"/>
  <c r="H221" i="11" s="1"/>
  <c r="N220" i="11" a="1"/>
  <c r="N220" i="11" s="1"/>
  <c r="L220" i="11" a="1"/>
  <c r="L220" i="11" s="1"/>
  <c r="J220" i="11" a="1"/>
  <c r="J220" i="11" s="1"/>
  <c r="H220" i="11" a="1"/>
  <c r="H220" i="11" s="1"/>
  <c r="N219" i="11" a="1"/>
  <c r="N219" i="11" s="1"/>
  <c r="L219" i="11" a="1"/>
  <c r="L219" i="11" s="1"/>
  <c r="J219" i="11" a="1"/>
  <c r="J219" i="11" s="1"/>
  <c r="H219" i="11" a="1"/>
  <c r="H219" i="11" s="1"/>
  <c r="N218" i="11" a="1"/>
  <c r="N218" i="11" s="1"/>
  <c r="L218" i="11" a="1"/>
  <c r="L218" i="11" s="1"/>
  <c r="J218" i="11" a="1"/>
  <c r="J218" i="11" s="1"/>
  <c r="H218" i="11" a="1"/>
  <c r="H218" i="11" s="1"/>
  <c r="N217" i="11" a="1"/>
  <c r="N217" i="11" s="1"/>
  <c r="L217" i="11" a="1"/>
  <c r="L217" i="11" s="1"/>
  <c r="J217" i="11" a="1"/>
  <c r="J217" i="11" s="1"/>
  <c r="H217" i="11" a="1"/>
  <c r="H217" i="11" s="1"/>
  <c r="N216" i="11" a="1"/>
  <c r="N216" i="11" s="1"/>
  <c r="L216" i="11" a="1"/>
  <c r="L216" i="11" s="1"/>
  <c r="J216" i="11" a="1"/>
  <c r="J216" i="11" s="1"/>
  <c r="H216" i="11" a="1"/>
  <c r="H216" i="11" s="1"/>
  <c r="N215" i="11" a="1"/>
  <c r="N215" i="11" s="1"/>
  <c r="L215" i="11" a="1"/>
  <c r="L215" i="11" s="1"/>
  <c r="J215" i="11" a="1"/>
  <c r="J215" i="11" s="1"/>
  <c r="H215" i="11" a="1"/>
  <c r="H215" i="11" s="1"/>
  <c r="N214" i="11" a="1"/>
  <c r="N214" i="11" s="1"/>
  <c r="L214" i="11" a="1"/>
  <c r="L214" i="11" s="1"/>
  <c r="J214" i="11" a="1"/>
  <c r="J214" i="11" s="1"/>
  <c r="H214" i="11" a="1"/>
  <c r="H214" i="11" s="1"/>
  <c r="N213" i="11" a="1"/>
  <c r="N213" i="11" s="1"/>
  <c r="L213" i="11" a="1"/>
  <c r="L213" i="11" s="1"/>
  <c r="J213" i="11" a="1"/>
  <c r="J213" i="11" s="1"/>
  <c r="H213" i="11" a="1"/>
  <c r="H213" i="11" s="1"/>
  <c r="N212" i="11" a="1"/>
  <c r="N212" i="11" s="1"/>
  <c r="L212" i="11" a="1"/>
  <c r="L212" i="11" s="1"/>
  <c r="J212" i="11" a="1"/>
  <c r="J212" i="11" s="1"/>
  <c r="H212" i="11" a="1"/>
  <c r="H212" i="11" s="1"/>
  <c r="N211" i="11" a="1"/>
  <c r="N211" i="11" s="1"/>
  <c r="L211" i="11" a="1"/>
  <c r="L211" i="11" s="1"/>
  <c r="J211" i="11" a="1"/>
  <c r="J211" i="11" s="1"/>
  <c r="H211" i="11" a="1"/>
  <c r="H211" i="11" s="1"/>
  <c r="N210" i="11" a="1"/>
  <c r="N210" i="11" s="1"/>
  <c r="L210" i="11" a="1"/>
  <c r="L210" i="11" s="1"/>
  <c r="J210" i="11" a="1"/>
  <c r="J210" i="11" s="1"/>
  <c r="H210" i="11" a="1"/>
  <c r="H210" i="11" s="1"/>
  <c r="N209" i="11" a="1"/>
  <c r="N209" i="11" s="1"/>
  <c r="L209" i="11" a="1"/>
  <c r="L209" i="11" s="1"/>
  <c r="J209" i="11" a="1"/>
  <c r="J209" i="11" s="1"/>
  <c r="H209" i="11" a="1"/>
  <c r="H209" i="11" s="1"/>
  <c r="N208" i="11" a="1"/>
  <c r="N208" i="11" s="1"/>
  <c r="L208" i="11" a="1"/>
  <c r="L208" i="11" s="1"/>
  <c r="J208" i="11" a="1"/>
  <c r="J208" i="11" s="1"/>
  <c r="H208" i="11" a="1"/>
  <c r="H208" i="11" s="1"/>
  <c r="N207" i="11" a="1"/>
  <c r="N207" i="11" s="1"/>
  <c r="L207" i="11" a="1"/>
  <c r="L207" i="11" s="1"/>
  <c r="J207" i="11" a="1"/>
  <c r="J207" i="11" s="1"/>
  <c r="H207" i="11" a="1"/>
  <c r="H207" i="11" s="1"/>
  <c r="N206" i="11" a="1"/>
  <c r="N206" i="11" s="1"/>
  <c r="L206" i="11" a="1"/>
  <c r="L206" i="11" s="1"/>
  <c r="N205" i="11" a="1"/>
  <c r="N205" i="11" s="1"/>
  <c r="L205" i="11" a="1"/>
  <c r="L205" i="11" s="1"/>
  <c r="N204" i="11" a="1"/>
  <c r="N204" i="11" s="1"/>
  <c r="L204" i="11" a="1"/>
  <c r="L204" i="11" s="1"/>
  <c r="J204" i="11" a="1"/>
  <c r="J204" i="11" s="1"/>
  <c r="H204" i="11" a="1"/>
  <c r="H204" i="11" s="1"/>
  <c r="N203" i="11" a="1"/>
  <c r="N203" i="11" s="1"/>
  <c r="L203" i="11" a="1"/>
  <c r="L203" i="11" s="1"/>
  <c r="J203" i="11" a="1"/>
  <c r="J203" i="11" s="1"/>
  <c r="H203" i="11" a="1"/>
  <c r="H203" i="11" s="1"/>
  <c r="N202" i="11" a="1"/>
  <c r="N202" i="11" s="1"/>
  <c r="L202" i="11" a="1"/>
  <c r="L202" i="11" s="1"/>
  <c r="J202" i="11" a="1"/>
  <c r="J202" i="11" s="1"/>
  <c r="H202" i="11" a="1"/>
  <c r="H202" i="11" s="1"/>
  <c r="N201" i="11" a="1"/>
  <c r="N201" i="11" s="1"/>
  <c r="L201" i="11" a="1"/>
  <c r="L201" i="11" s="1"/>
  <c r="J201" i="11" a="1"/>
  <c r="J201" i="11" s="1"/>
  <c r="H201" i="11" a="1"/>
  <c r="H201" i="11" s="1"/>
  <c r="N200" i="11" a="1"/>
  <c r="N200" i="11" s="1"/>
  <c r="L200" i="11" a="1"/>
  <c r="L200" i="11" s="1"/>
  <c r="J200" i="11" a="1"/>
  <c r="J200" i="11" s="1"/>
  <c r="H200" i="11" a="1"/>
  <c r="H200" i="11" s="1"/>
  <c r="N199" i="11" a="1"/>
  <c r="N199" i="11" s="1"/>
  <c r="L199" i="11" a="1"/>
  <c r="L199" i="11" s="1"/>
  <c r="J199" i="11" a="1"/>
  <c r="J199" i="11" s="1"/>
  <c r="H199" i="11" a="1"/>
  <c r="H199" i="11" s="1"/>
  <c r="N198" i="11" a="1"/>
  <c r="N198" i="11" s="1"/>
  <c r="L198" i="11" a="1"/>
  <c r="L198" i="11" s="1"/>
  <c r="J198" i="11" a="1"/>
  <c r="J198" i="11" s="1"/>
  <c r="H198" i="11" a="1"/>
  <c r="H198" i="11" s="1"/>
  <c r="N197" i="11" a="1"/>
  <c r="N197" i="11" s="1"/>
  <c r="L197" i="11" a="1"/>
  <c r="L197" i="11" s="1"/>
  <c r="J197" i="11" a="1"/>
  <c r="J197" i="11" s="1"/>
  <c r="H197" i="11" a="1"/>
  <c r="H197" i="11" s="1"/>
  <c r="N196" i="11" a="1"/>
  <c r="N196" i="11" s="1"/>
  <c r="L196" i="11" a="1"/>
  <c r="L196" i="11" s="1"/>
  <c r="J196" i="11" a="1"/>
  <c r="J196" i="11" s="1"/>
  <c r="H196" i="11" a="1"/>
  <c r="H196" i="11" s="1"/>
  <c r="N195" i="11" a="1"/>
  <c r="N195" i="11" s="1"/>
  <c r="L195" i="11" a="1"/>
  <c r="L195" i="11" s="1"/>
  <c r="J195" i="11" a="1"/>
  <c r="J195" i="11" s="1"/>
  <c r="H195" i="11" a="1"/>
  <c r="H195" i="11" s="1"/>
  <c r="N194" i="11" a="1"/>
  <c r="N194" i="11" s="1"/>
  <c r="L194" i="11" a="1"/>
  <c r="L194" i="11" s="1"/>
  <c r="J194" i="11" a="1"/>
  <c r="J194" i="11" s="1"/>
  <c r="H194" i="11" a="1"/>
  <c r="H194" i="11" s="1"/>
  <c r="N193" i="11" a="1"/>
  <c r="N193" i="11" s="1"/>
  <c r="L193" i="11" a="1"/>
  <c r="L193" i="11" s="1"/>
  <c r="J193" i="11" a="1"/>
  <c r="J193" i="11" s="1"/>
  <c r="H193" i="11" a="1"/>
  <c r="H193" i="11" s="1"/>
  <c r="N192" i="11" a="1"/>
  <c r="N192" i="11" s="1"/>
  <c r="L192" i="11" a="1"/>
  <c r="L192" i="11" s="1"/>
  <c r="J192" i="11" a="1"/>
  <c r="J192" i="11" s="1"/>
  <c r="H192" i="11" a="1"/>
  <c r="H192" i="11" s="1"/>
  <c r="N191" i="11" a="1"/>
  <c r="N191" i="11" s="1"/>
  <c r="L191" i="11" a="1"/>
  <c r="L191" i="11" s="1"/>
  <c r="J191" i="11" a="1"/>
  <c r="J191" i="11" s="1"/>
  <c r="H191" i="11" a="1"/>
  <c r="H191" i="11" s="1"/>
  <c r="N190" i="11" a="1"/>
  <c r="N190" i="11" s="1"/>
  <c r="L190" i="11" a="1"/>
  <c r="L190" i="11" s="1"/>
  <c r="J190" i="11" a="1"/>
  <c r="J190" i="11" s="1"/>
  <c r="H190" i="11" a="1"/>
  <c r="H190" i="11" s="1"/>
  <c r="N189" i="11" a="1"/>
  <c r="N189" i="11" s="1"/>
  <c r="L189" i="11" a="1"/>
  <c r="L189" i="11" s="1"/>
  <c r="J189" i="11" a="1"/>
  <c r="J189" i="11" s="1"/>
  <c r="H189" i="11" a="1"/>
  <c r="H189" i="11" s="1"/>
  <c r="N188" i="11" a="1"/>
  <c r="N188" i="11" s="1"/>
  <c r="L188" i="11" a="1"/>
  <c r="L188" i="11" s="1"/>
  <c r="J188" i="11" a="1"/>
  <c r="J188" i="11" s="1"/>
  <c r="H188" i="11" a="1"/>
  <c r="H188" i="11" s="1"/>
  <c r="N187" i="11" a="1"/>
  <c r="N187" i="11" s="1"/>
  <c r="L187" i="11" a="1"/>
  <c r="L187" i="11" s="1"/>
  <c r="J187" i="11" a="1"/>
  <c r="J187" i="11" s="1"/>
  <c r="H187" i="11" a="1"/>
  <c r="H187" i="11" s="1"/>
  <c r="N186" i="11" a="1"/>
  <c r="N186" i="11" s="1"/>
  <c r="L186" i="11" a="1"/>
  <c r="L186" i="11" s="1"/>
  <c r="J186" i="11" a="1"/>
  <c r="J186" i="11" s="1"/>
  <c r="H186" i="11" a="1"/>
  <c r="H186" i="11" s="1"/>
  <c r="N185" i="11" a="1"/>
  <c r="N185" i="11" s="1"/>
  <c r="L185" i="11" a="1"/>
  <c r="L185" i="11" s="1"/>
  <c r="J185" i="11" a="1"/>
  <c r="J185" i="11" s="1"/>
  <c r="H185" i="11" a="1"/>
  <c r="H185" i="11" s="1"/>
  <c r="N184" i="11" a="1"/>
  <c r="N184" i="11" s="1"/>
  <c r="L184" i="11" a="1"/>
  <c r="L184" i="11" s="1"/>
  <c r="J184" i="11" a="1"/>
  <c r="J184" i="11" s="1"/>
  <c r="H184" i="11" a="1"/>
  <c r="H184" i="11" s="1"/>
  <c r="N183" i="11" a="1"/>
  <c r="N183" i="11" s="1"/>
  <c r="L183" i="11" a="1"/>
  <c r="L183" i="11" s="1"/>
  <c r="J183" i="11" a="1"/>
  <c r="J183" i="11" s="1"/>
  <c r="H183" i="11" a="1"/>
  <c r="H183" i="11" s="1"/>
  <c r="N182" i="11" a="1"/>
  <c r="N182" i="11" s="1"/>
  <c r="L182" i="11" a="1"/>
  <c r="L182" i="11" s="1"/>
  <c r="J182" i="11" a="1"/>
  <c r="J182" i="11" s="1"/>
  <c r="H182" i="11" a="1"/>
  <c r="H182" i="11" s="1"/>
  <c r="N181" i="11" a="1"/>
  <c r="N181" i="11" s="1"/>
  <c r="L181" i="11" a="1"/>
  <c r="L181" i="11" s="1"/>
  <c r="J181" i="11" a="1"/>
  <c r="J181" i="11" s="1"/>
  <c r="H181" i="11" a="1"/>
  <c r="H181" i="11" s="1"/>
  <c r="N177" i="11" a="1"/>
  <c r="N177" i="11" s="1"/>
  <c r="L177" i="11" a="1"/>
  <c r="L177" i="11" s="1"/>
  <c r="N169" i="11" a="1"/>
  <c r="N169" i="11" s="1"/>
  <c r="L169" i="11" a="1"/>
  <c r="L169" i="11" s="1"/>
  <c r="J169" i="11" a="1"/>
  <c r="J169" i="11" s="1"/>
  <c r="H169" i="11" a="1"/>
  <c r="H169" i="11" s="1"/>
  <c r="N168" i="11" a="1"/>
  <c r="N168" i="11" s="1"/>
  <c r="L168" i="11" a="1"/>
  <c r="L168" i="11" s="1"/>
  <c r="J168" i="11" a="1"/>
  <c r="J168" i="11" s="1"/>
  <c r="H168" i="11" a="1"/>
  <c r="H168" i="11" s="1"/>
  <c r="N167" i="11" a="1"/>
  <c r="N167" i="11" s="1"/>
  <c r="L167" i="11" a="1"/>
  <c r="L167" i="11" s="1"/>
  <c r="J167" i="11" a="1"/>
  <c r="J167" i="11" s="1"/>
  <c r="H167" i="11" a="1"/>
  <c r="H167" i="11" s="1"/>
  <c r="N166" i="11" a="1"/>
  <c r="N166" i="11" s="1"/>
  <c r="L166" i="11" a="1"/>
  <c r="L166" i="11" s="1"/>
  <c r="J166" i="11" a="1"/>
  <c r="J166" i="11" s="1"/>
  <c r="H166" i="11" a="1"/>
  <c r="H166" i="11" s="1"/>
  <c r="N161" i="11" a="1"/>
  <c r="N161" i="11" s="1"/>
  <c r="L161" i="11" a="1"/>
  <c r="L161" i="11" s="1"/>
  <c r="J161" i="11" a="1"/>
  <c r="J161" i="11" s="1"/>
  <c r="H161" i="11" a="1"/>
  <c r="H161" i="11" s="1"/>
  <c r="N160" i="11" a="1"/>
  <c r="N160" i="11" s="1"/>
  <c r="L160" i="11" a="1"/>
  <c r="L160" i="11" s="1"/>
  <c r="J160" i="11" a="1"/>
  <c r="J160" i="11" s="1"/>
  <c r="H160" i="11" a="1"/>
  <c r="H160" i="11" s="1"/>
  <c r="N159" i="11" a="1"/>
  <c r="N159" i="11" s="1"/>
  <c r="L159" i="11" a="1"/>
  <c r="L159" i="11" s="1"/>
  <c r="J159" i="11" a="1"/>
  <c r="J159" i="11" s="1"/>
  <c r="H159" i="11" a="1"/>
  <c r="H159" i="11" s="1"/>
  <c r="N158" i="11" a="1"/>
  <c r="N158" i="11" s="1"/>
  <c r="L158" i="11" a="1"/>
  <c r="L158" i="11" s="1"/>
  <c r="J158" i="11" a="1"/>
  <c r="J158" i="11" s="1"/>
  <c r="H158" i="11" a="1"/>
  <c r="H158" i="11" s="1"/>
  <c r="N157" i="11" a="1"/>
  <c r="N157" i="11" s="1"/>
  <c r="L157" i="11" a="1"/>
  <c r="L157" i="11" s="1"/>
  <c r="J157" i="11" a="1"/>
  <c r="J157" i="11" s="1"/>
  <c r="H157" i="11" a="1"/>
  <c r="H157" i="11" s="1"/>
  <c r="N156" i="11" a="1"/>
  <c r="N156" i="11" s="1"/>
  <c r="L156" i="11" a="1"/>
  <c r="L156" i="11" s="1"/>
  <c r="J156" i="11" a="1"/>
  <c r="J156" i="11" s="1"/>
  <c r="H156" i="11" a="1"/>
  <c r="H156" i="11" s="1"/>
  <c r="N155" i="11" a="1"/>
  <c r="N155" i="11" s="1"/>
  <c r="L155" i="11" a="1"/>
  <c r="L155" i="11" s="1"/>
  <c r="N154" i="11" a="1"/>
  <c r="N154" i="11" s="1"/>
  <c r="L154" i="11" a="1"/>
  <c r="L154" i="11" s="1"/>
  <c r="J154" i="11" a="1"/>
  <c r="J154" i="11" s="1"/>
  <c r="H154" i="11" a="1"/>
  <c r="H154" i="11" s="1"/>
  <c r="N153" i="11" a="1"/>
  <c r="N153" i="11" s="1"/>
  <c r="L153" i="11" a="1"/>
  <c r="L153" i="11" s="1"/>
  <c r="J153" i="11" a="1"/>
  <c r="J153" i="11" s="1"/>
  <c r="H153" i="11" a="1"/>
  <c r="H153" i="11" s="1"/>
  <c r="N152" i="11" a="1"/>
  <c r="N152" i="11" s="1"/>
  <c r="L152" i="11" a="1"/>
  <c r="L152" i="11" s="1"/>
  <c r="J152" i="11" a="1"/>
  <c r="J152" i="11" s="1"/>
  <c r="H152" i="11" a="1"/>
  <c r="H152" i="11" s="1"/>
  <c r="N151" i="11" a="1"/>
  <c r="N151" i="11" s="1"/>
  <c r="L151" i="11" a="1"/>
  <c r="L151" i="11" s="1"/>
  <c r="J151" i="11" a="1"/>
  <c r="J151" i="11" s="1"/>
  <c r="H151" i="11" a="1"/>
  <c r="H151" i="11" s="1"/>
  <c r="N150" i="11" a="1"/>
  <c r="N150" i="11" s="1"/>
  <c r="L150" i="11" a="1"/>
  <c r="L150" i="11" s="1"/>
  <c r="J150" i="11" a="1"/>
  <c r="J150" i="11" s="1"/>
  <c r="H150" i="11" a="1"/>
  <c r="H150" i="11" s="1"/>
  <c r="N149" i="11" a="1"/>
  <c r="N149" i="11" s="1"/>
  <c r="L149" i="11" a="1"/>
  <c r="L149" i="11" s="1"/>
  <c r="J149" i="11" a="1"/>
  <c r="J149" i="11" s="1"/>
  <c r="H149" i="11" a="1"/>
  <c r="H149" i="11" s="1"/>
  <c r="N148" i="11" a="1"/>
  <c r="N148" i="11" s="1"/>
  <c r="L148" i="11" a="1"/>
  <c r="L148" i="11" s="1"/>
  <c r="J148" i="11" a="1"/>
  <c r="J148" i="11" s="1"/>
  <c r="H148" i="11" a="1"/>
  <c r="H148" i="11" s="1"/>
  <c r="N147" i="11" a="1"/>
  <c r="N147" i="11" s="1"/>
  <c r="L147" i="11" a="1"/>
  <c r="L147" i="11" s="1"/>
  <c r="J147" i="11" a="1"/>
  <c r="J147" i="11" s="1"/>
  <c r="H147" i="11" a="1"/>
  <c r="H147" i="11" s="1"/>
  <c r="N146" i="11" a="1"/>
  <c r="N146" i="11" s="1"/>
  <c r="L146" i="11" a="1"/>
  <c r="L146" i="11" s="1"/>
  <c r="J146" i="11" a="1"/>
  <c r="J146" i="11" s="1"/>
  <c r="H146" i="11" a="1"/>
  <c r="H146" i="11" s="1"/>
  <c r="N145" i="11" a="1"/>
  <c r="N145" i="11" s="1"/>
  <c r="L145" i="11" a="1"/>
  <c r="L145" i="11" s="1"/>
  <c r="J145" i="11" a="1"/>
  <c r="J145" i="11" s="1"/>
  <c r="H145" i="11" a="1"/>
  <c r="H145" i="11" s="1"/>
  <c r="N144" i="11" a="1"/>
  <c r="N144" i="11" s="1"/>
  <c r="L144" i="11" a="1"/>
  <c r="L144" i="11" s="1"/>
  <c r="J144" i="11" a="1"/>
  <c r="J144" i="11" s="1"/>
  <c r="H144" i="11" a="1"/>
  <c r="H144" i="11" s="1"/>
  <c r="N140" i="11" a="1"/>
  <c r="N140" i="11" s="1"/>
  <c r="L140" i="11" a="1"/>
  <c r="L140" i="11" s="1"/>
  <c r="J140" i="11" a="1"/>
  <c r="J140" i="11" s="1"/>
  <c r="H140" i="11" a="1"/>
  <c r="H140" i="11" s="1"/>
  <c r="N139" i="11" a="1"/>
  <c r="N139" i="11" s="1"/>
  <c r="L139" i="11" a="1"/>
  <c r="L139" i="11" s="1"/>
  <c r="J139" i="11" a="1"/>
  <c r="J139" i="11" s="1"/>
  <c r="H139" i="11" a="1"/>
  <c r="H139" i="11" s="1"/>
  <c r="N138" i="11" a="1"/>
  <c r="N138" i="11" s="1"/>
  <c r="L138" i="11" a="1"/>
  <c r="L138" i="11" s="1"/>
  <c r="J138" i="11" a="1"/>
  <c r="J138" i="11" s="1"/>
  <c r="H138" i="11" a="1"/>
  <c r="H138" i="11" s="1"/>
  <c r="N137" i="11" a="1"/>
  <c r="N137" i="11" s="1"/>
  <c r="L137" i="11" a="1"/>
  <c r="L137" i="11" s="1"/>
  <c r="J137" i="11" a="1"/>
  <c r="J137" i="11" s="1"/>
  <c r="H137" i="11" a="1"/>
  <c r="H137" i="11" s="1"/>
  <c r="N136" i="11" a="1"/>
  <c r="N136" i="11" s="1"/>
  <c r="L136" i="11" a="1"/>
  <c r="L136" i="11" s="1"/>
  <c r="J136" i="11" a="1"/>
  <c r="J136" i="11" s="1"/>
  <c r="H136" i="11" a="1"/>
  <c r="H136" i="11" s="1"/>
  <c r="N130" i="11" a="1"/>
  <c r="N130" i="11" s="1"/>
  <c r="L130" i="11" a="1"/>
  <c r="L130" i="11" s="1"/>
  <c r="J130" i="11" a="1"/>
  <c r="J130" i="11" s="1"/>
  <c r="H130" i="11" a="1"/>
  <c r="H130" i="11" s="1"/>
  <c r="N129" i="11" a="1"/>
  <c r="N129" i="11" s="1"/>
  <c r="L129" i="11" a="1"/>
  <c r="L129" i="11" s="1"/>
  <c r="J129" i="11" a="1"/>
  <c r="J129" i="11" s="1"/>
  <c r="H129" i="11" a="1"/>
  <c r="H129" i="11" s="1"/>
  <c r="N128" i="11" a="1"/>
  <c r="N128" i="11" s="1"/>
  <c r="L128" i="11" a="1"/>
  <c r="L128" i="11" s="1"/>
  <c r="J128" i="11" a="1"/>
  <c r="J128" i="11" s="1"/>
  <c r="H128" i="11" a="1"/>
  <c r="H128" i="11" s="1"/>
  <c r="N127" i="11" a="1"/>
  <c r="N127" i="11" s="1"/>
  <c r="L127" i="11" a="1"/>
  <c r="L127" i="11" s="1"/>
  <c r="J127" i="11" a="1"/>
  <c r="J127" i="11" s="1"/>
  <c r="H127" i="11" a="1"/>
  <c r="H127" i="11" s="1"/>
  <c r="N126" i="11" a="1"/>
  <c r="N126" i="11" s="1"/>
  <c r="L126" i="11" a="1"/>
  <c r="L126" i="11" s="1"/>
  <c r="J126" i="11" a="1"/>
  <c r="J126" i="11" s="1"/>
  <c r="H126" i="11" a="1"/>
  <c r="H126" i="11" s="1"/>
  <c r="N125" i="11" a="1"/>
  <c r="N125" i="11" s="1"/>
  <c r="L125" i="11" a="1"/>
  <c r="L125" i="11" s="1"/>
  <c r="J125" i="11" a="1"/>
  <c r="J125" i="11" s="1"/>
  <c r="H125" i="11" a="1"/>
  <c r="H125" i="11" s="1"/>
  <c r="N124" i="11" a="1"/>
  <c r="N124" i="11" s="1"/>
  <c r="L124" i="11" a="1"/>
  <c r="L124" i="11" s="1"/>
  <c r="J124" i="11" a="1"/>
  <c r="J124" i="11" s="1"/>
  <c r="H124" i="11" a="1"/>
  <c r="H124" i="11" s="1"/>
  <c r="N123" i="11" a="1"/>
  <c r="N123" i="11" s="1"/>
  <c r="L123" i="11" a="1"/>
  <c r="L123" i="11" s="1"/>
  <c r="J123" i="11" a="1"/>
  <c r="J123" i="11" s="1"/>
  <c r="H123" i="11" a="1"/>
  <c r="H123" i="11" s="1"/>
  <c r="N122" i="11" a="1"/>
  <c r="N122" i="11" s="1"/>
  <c r="L122" i="11" a="1"/>
  <c r="L122" i="11" s="1"/>
  <c r="J122" i="11" a="1"/>
  <c r="J122" i="11" s="1"/>
  <c r="H122" i="11" a="1"/>
  <c r="H122" i="11" s="1"/>
  <c r="N121" i="11" a="1"/>
  <c r="N121" i="11" s="1"/>
  <c r="L121" i="11" a="1"/>
  <c r="L121" i="11" s="1"/>
  <c r="J121" i="11" a="1"/>
  <c r="J121" i="11" s="1"/>
  <c r="H121" i="11" a="1"/>
  <c r="H121" i="11" s="1"/>
  <c r="N120" i="11" a="1"/>
  <c r="N120" i="11" s="1"/>
  <c r="L120" i="11" a="1"/>
  <c r="L120" i="11" s="1"/>
  <c r="J120" i="11" a="1"/>
  <c r="J120" i="11" s="1"/>
  <c r="H120" i="11" a="1"/>
  <c r="H120" i="11" s="1"/>
  <c r="N116" i="11" a="1"/>
  <c r="N116" i="11" s="1"/>
  <c r="L116" i="11" a="1"/>
  <c r="L116" i="11" s="1"/>
  <c r="N106" i="11" a="1"/>
  <c r="N106" i="11" s="1"/>
  <c r="L106" i="11" a="1"/>
  <c r="L106" i="11" s="1"/>
  <c r="J106" i="11" a="1"/>
  <c r="J106" i="11" s="1"/>
  <c r="H106" i="11" a="1"/>
  <c r="H106" i="11" s="1"/>
  <c r="N105" i="11" a="1"/>
  <c r="N105" i="11" s="1"/>
  <c r="L105" i="11" a="1"/>
  <c r="L105" i="11" s="1"/>
  <c r="J105" i="11" a="1"/>
  <c r="J105" i="11" s="1"/>
  <c r="H105" i="11" a="1"/>
  <c r="H105" i="11" s="1"/>
  <c r="N104" i="11" a="1"/>
  <c r="N104" i="11" s="1"/>
  <c r="L104" i="11" a="1"/>
  <c r="L104" i="11" s="1"/>
  <c r="J104" i="11" a="1"/>
  <c r="J104" i="11" s="1"/>
  <c r="H104" i="11" a="1"/>
  <c r="H104" i="11" s="1"/>
  <c r="N103" i="11" a="1"/>
  <c r="N103" i="11" s="1"/>
  <c r="L103" i="11" a="1"/>
  <c r="L103" i="11" s="1"/>
  <c r="J103" i="11" a="1"/>
  <c r="J103" i="11" s="1"/>
  <c r="H103" i="11" a="1"/>
  <c r="H103" i="11" s="1"/>
  <c r="N102" i="11" a="1"/>
  <c r="N102" i="11" s="1"/>
  <c r="L102" i="11" a="1"/>
  <c r="L102" i="11" s="1"/>
  <c r="J102" i="11" a="1"/>
  <c r="J102" i="11" s="1"/>
  <c r="H102" i="11" a="1"/>
  <c r="H102" i="11" s="1"/>
  <c r="N101" i="11" a="1"/>
  <c r="N101" i="11" s="1"/>
  <c r="L101" i="11" a="1"/>
  <c r="L101" i="11" s="1"/>
  <c r="J101" i="11" a="1"/>
  <c r="J101" i="11" s="1"/>
  <c r="H101" i="11" a="1"/>
  <c r="H101" i="11" s="1"/>
  <c r="N100" i="11" a="1"/>
  <c r="N100" i="11" s="1"/>
  <c r="L100" i="11" a="1"/>
  <c r="L100" i="11" s="1"/>
  <c r="J100" i="11" a="1"/>
  <c r="J100" i="11" s="1"/>
  <c r="H100" i="11" a="1"/>
  <c r="H100" i="11" s="1"/>
  <c r="N98" i="11" a="1"/>
  <c r="N98" i="11" s="1"/>
  <c r="L98" i="11" a="1"/>
  <c r="L98" i="11" s="1"/>
  <c r="J98" i="11" a="1"/>
  <c r="J98" i="11" s="1"/>
  <c r="H98" i="11" a="1"/>
  <c r="H98" i="11" s="1"/>
  <c r="N97" i="11" a="1"/>
  <c r="N97" i="11" s="1"/>
  <c r="L97" i="11" a="1"/>
  <c r="L97" i="11" s="1"/>
  <c r="J97" i="11" a="1"/>
  <c r="J97" i="11" s="1"/>
  <c r="H97" i="11" a="1"/>
  <c r="H97" i="11" s="1"/>
  <c r="N96" i="11" a="1"/>
  <c r="N96" i="11" s="1"/>
  <c r="L96" i="11" a="1"/>
  <c r="L96" i="11" s="1"/>
  <c r="N95" i="11" a="1"/>
  <c r="N95" i="11" s="1"/>
  <c r="L95" i="11" a="1"/>
  <c r="L95" i="11" s="1"/>
  <c r="J95" i="11" a="1"/>
  <c r="J95" i="11" s="1"/>
  <c r="H95" i="11" a="1"/>
  <c r="H95" i="11" s="1"/>
  <c r="N94" i="11" a="1"/>
  <c r="N94" i="11" s="1"/>
  <c r="L94" i="11" a="1"/>
  <c r="L94" i="11" s="1"/>
  <c r="J94" i="11" a="1"/>
  <c r="J94" i="11" s="1"/>
  <c r="H94" i="11" a="1"/>
  <c r="H94" i="11" s="1"/>
  <c r="N93" i="11" a="1"/>
  <c r="N93" i="11" s="1"/>
  <c r="L93" i="11" a="1"/>
  <c r="L93" i="11" s="1"/>
  <c r="J93" i="11" a="1"/>
  <c r="J93" i="11" s="1"/>
  <c r="H93" i="11" a="1"/>
  <c r="H93" i="11" s="1"/>
  <c r="N92" i="11" a="1"/>
  <c r="N92" i="11" s="1"/>
  <c r="L92" i="11" a="1"/>
  <c r="L92" i="11" s="1"/>
  <c r="J92" i="11" a="1"/>
  <c r="J92" i="11" s="1"/>
  <c r="H92" i="11" a="1"/>
  <c r="H92" i="11" s="1"/>
  <c r="N91" i="11" a="1"/>
  <c r="N91" i="11" s="1"/>
  <c r="L91" i="11" a="1"/>
  <c r="L91" i="11" s="1"/>
  <c r="J91" i="11" a="1"/>
  <c r="J91" i="11" s="1"/>
  <c r="H91" i="11" a="1"/>
  <c r="H91" i="11" s="1"/>
  <c r="N75" i="11" a="1"/>
  <c r="N75" i="11" s="1"/>
  <c r="L75" i="11" a="1"/>
  <c r="L75" i="11" s="1"/>
  <c r="J75" i="11" a="1"/>
  <c r="J75" i="11" s="1"/>
  <c r="H75" i="11" a="1"/>
  <c r="H75" i="11" s="1"/>
  <c r="N74" i="11" a="1"/>
  <c r="N74" i="11" s="1"/>
  <c r="L74" i="11" a="1"/>
  <c r="L74" i="11" s="1"/>
  <c r="J74" i="11" a="1"/>
  <c r="J74" i="11" s="1"/>
  <c r="H74" i="11" a="1"/>
  <c r="H74" i="11" s="1"/>
  <c r="N73" i="11" a="1"/>
  <c r="N73" i="11" s="1"/>
  <c r="L73" i="11" a="1"/>
  <c r="L73" i="11" s="1"/>
  <c r="M44" i="11" a="1"/>
  <c r="M44" i="11" s="1"/>
  <c r="M43" i="11" a="1"/>
  <c r="M43" i="11" s="1"/>
  <c r="M37" i="11" a="1"/>
  <c r="M37" i="11" s="1"/>
  <c r="N34" i="11" a="1"/>
  <c r="N34" i="11" s="1"/>
  <c r="L34" i="11" a="1"/>
  <c r="L34" i="11" s="1"/>
  <c r="N33" i="11" a="1"/>
  <c r="N33" i="11" s="1"/>
  <c r="N32" i="11" a="1"/>
  <c r="N32" i="11" s="1"/>
  <c r="L32" i="11" a="1"/>
  <c r="L32" i="11" s="1"/>
  <c r="N28" i="11" a="1"/>
  <c r="N28" i="11" s="1"/>
  <c r="L28" i="11" a="1"/>
  <c r="L28" i="11" s="1"/>
  <c r="N27" i="11" a="1"/>
  <c r="N27" i="11" s="1"/>
  <c r="L27" i="11" a="1"/>
  <c r="L27" i="11" s="1"/>
  <c r="N25" i="11" a="1"/>
  <c r="N25" i="11" s="1"/>
  <c r="L25" i="11" a="1"/>
  <c r="L25" i="11" s="1"/>
  <c r="N24" i="11" a="1"/>
  <c r="N24" i="11" s="1"/>
  <c r="L24" i="11" a="1"/>
  <c r="L24" i="11" s="1"/>
  <c r="N23" i="11" a="1"/>
  <c r="N23" i="11" s="1"/>
  <c r="L23" i="11" a="1"/>
  <c r="L23" i="11" s="1"/>
  <c r="N22" i="11" a="1"/>
  <c r="N22" i="11" s="1"/>
  <c r="L22" i="11" a="1"/>
  <c r="L22" i="11" s="1"/>
  <c r="N21" i="11" a="1"/>
  <c r="N21" i="11" s="1"/>
  <c r="L21" i="11" a="1"/>
  <c r="L21" i="11" s="1"/>
  <c r="N20" i="11" a="1"/>
  <c r="N20" i="11" s="1"/>
  <c r="L20" i="11" a="1"/>
  <c r="L20" i="11" s="1"/>
  <c r="J20" i="11" a="1"/>
  <c r="J20" i="11" s="1"/>
  <c r="H20" i="11" a="1"/>
  <c r="H20" i="11" s="1"/>
  <c r="N16" i="11" a="1"/>
  <c r="N16" i="11" s="1"/>
  <c r="L16" i="11" a="1"/>
  <c r="L16" i="11" s="1"/>
  <c r="H63" i="6" a="1"/>
  <c r="H63" i="6" s="1"/>
  <c r="H62" i="6" a="1"/>
  <c r="H62" i="6" s="1"/>
  <c r="H51" i="6" a="1"/>
  <c r="H51" i="6" s="1"/>
  <c r="H50" i="6" a="1"/>
  <c r="H50" i="6" s="1"/>
  <c r="H49" i="6" a="1"/>
  <c r="H49" i="6" s="1"/>
  <c r="H46" i="6" a="1"/>
  <c r="H46" i="6" s="1"/>
  <c r="H45" i="6" a="1"/>
  <c r="H45" i="6" s="1"/>
  <c r="H42" i="6" a="1"/>
  <c r="H42" i="6" s="1"/>
  <c r="C9" i="6" a="1"/>
  <c r="C9" i="6" s="1"/>
  <c r="AQ14" i="27"/>
  <c r="AJ14" i="27"/>
  <c r="AQ12" i="27"/>
  <c r="AJ12" i="27"/>
  <c r="AQ10" i="27"/>
  <c r="AJ10" i="27"/>
  <c r="AQ8" i="27"/>
  <c r="AJ8" i="27"/>
  <c r="U72" i="29" l="1"/>
  <c r="U75" i="29"/>
  <c r="G85" i="29" s="1"/>
  <c r="X74" i="29"/>
  <c r="F78" i="29" s="1"/>
  <c r="Y74" i="29"/>
  <c r="Z72" i="29"/>
  <c r="D80" i="29" s="1"/>
  <c r="D94" i="29" s="1"/>
  <c r="A48" i="29"/>
  <c r="T72" i="29"/>
  <c r="D74" i="29" s="1"/>
  <c r="Z74" i="29"/>
  <c r="F80" i="29" s="1"/>
  <c r="F94" i="29" s="1"/>
  <c r="U74" i="29"/>
  <c r="F85" i="29" s="1"/>
  <c r="S72" i="29"/>
  <c r="D73" i="29" s="1"/>
  <c r="V72" i="29"/>
  <c r="D76" i="29" s="1"/>
  <c r="D93" i="29" s="1"/>
  <c r="X72" i="29"/>
  <c r="D78" i="29" s="1"/>
  <c r="Y72" i="29"/>
  <c r="T74" i="29"/>
  <c r="F74" i="29" s="1"/>
  <c r="F88" i="29" s="1"/>
  <c r="F100" i="29" s="1"/>
  <c r="S74" i="29"/>
  <c r="F73" i="29" s="1"/>
  <c r="W72" i="29"/>
  <c r="D77" i="29" s="1"/>
  <c r="W74" i="29"/>
  <c r="F77" i="29" s="1"/>
  <c r="Z75" i="29"/>
  <c r="G80" i="29" s="1"/>
  <c r="G94" i="29" s="1"/>
  <c r="U80" i="29"/>
  <c r="L85" i="29" s="1"/>
  <c r="W75" i="29"/>
  <c r="G77" i="29" s="1"/>
  <c r="S75" i="29"/>
  <c r="G73" i="29" s="1"/>
  <c r="Q76" i="29"/>
  <c r="S76" i="29" s="1"/>
  <c r="H73" i="29" s="1"/>
  <c r="V75" i="29"/>
  <c r="G76" i="29" s="1"/>
  <c r="G93" i="29" s="1"/>
  <c r="X75" i="29"/>
  <c r="G78" i="29" s="1"/>
  <c r="Y75" i="29"/>
  <c r="G87" i="29" s="1"/>
  <c r="X79" i="29"/>
  <c r="K78" i="29" s="1"/>
  <c r="V80" i="29"/>
  <c r="L76" i="29" s="1"/>
  <c r="L93" i="29" s="1"/>
  <c r="T80" i="29"/>
  <c r="Y79" i="29"/>
  <c r="S79" i="29"/>
  <c r="K73" i="29" s="1"/>
  <c r="Y80" i="29"/>
  <c r="L79" i="29" s="1"/>
  <c r="U79" i="29"/>
  <c r="K75" i="29" s="1"/>
  <c r="A53" i="29"/>
  <c r="X80" i="29"/>
  <c r="L78" i="29" s="1"/>
  <c r="V79" i="29"/>
  <c r="K76" i="29" s="1"/>
  <c r="K93" i="29" s="1"/>
  <c r="T79" i="29"/>
  <c r="K74" i="29" s="1"/>
  <c r="K88" i="29" s="1"/>
  <c r="K100" i="29" s="1"/>
  <c r="F75" i="29"/>
  <c r="Q78" i="29"/>
  <c r="T78" i="29" s="1"/>
  <c r="J74" i="29" s="1"/>
  <c r="J86" i="29" s="1"/>
  <c r="J99" i="29" s="1"/>
  <c r="W79" i="29"/>
  <c r="K77" i="29" s="1"/>
  <c r="S80" i="29"/>
  <c r="L74" i="29" s="1"/>
  <c r="L86" i="29" s="1"/>
  <c r="L99" i="29" s="1"/>
  <c r="T75" i="29"/>
  <c r="G74" i="29" s="1"/>
  <c r="F87" i="29"/>
  <c r="F79" i="29"/>
  <c r="F86" i="29"/>
  <c r="F99" i="29" s="1"/>
  <c r="D88" i="29"/>
  <c r="D100" i="29" s="1"/>
  <c r="D86" i="29"/>
  <c r="D99" i="29" s="1"/>
  <c r="Q77" i="29"/>
  <c r="A51" i="29"/>
  <c r="K87" i="29"/>
  <c r="K79" i="29"/>
  <c r="G75" i="29"/>
  <c r="Q73" i="29"/>
  <c r="A47" i="29"/>
  <c r="D75" i="29"/>
  <c r="D85" i="29"/>
  <c r="D87" i="29"/>
  <c r="D79" i="29"/>
  <c r="O25" i="24"/>
  <c r="O23" i="24"/>
  <c r="O22" i="24"/>
  <c r="O21" i="24"/>
  <c r="O20" i="24"/>
  <c r="O19" i="24"/>
  <c r="O18" i="24"/>
  <c r="O17" i="24"/>
  <c r="O24" i="24"/>
  <c r="H34" i="6"/>
  <c r="C46" i="26"/>
  <c r="E46" i="26" s="1"/>
  <c r="AB14" i="27"/>
  <c r="U14" i="27"/>
  <c r="AB12" i="27"/>
  <c r="U12" i="27"/>
  <c r="AB10" i="27"/>
  <c r="U10" i="27"/>
  <c r="AB8" i="27"/>
  <c r="U8" i="27"/>
  <c r="M14" i="27"/>
  <c r="F14" i="27"/>
  <c r="M12" i="27"/>
  <c r="F12" i="27"/>
  <c r="M10" i="27"/>
  <c r="F10" i="27"/>
  <c r="M8" i="27"/>
  <c r="F8" i="27"/>
  <c r="M25" i="24"/>
  <c r="M24" i="24"/>
  <c r="J24" i="24" s="1"/>
  <c r="M23" i="24"/>
  <c r="I23" i="24" s="1"/>
  <c r="M22" i="24"/>
  <c r="I22" i="24" s="1"/>
  <c r="M21" i="24"/>
  <c r="M20" i="24"/>
  <c r="J20" i="24" s="1"/>
  <c r="M19" i="24"/>
  <c r="J19" i="24" s="1"/>
  <c r="M18" i="24"/>
  <c r="J18" i="24" s="1"/>
  <c r="M17" i="24"/>
  <c r="J17" i="24" s="1"/>
  <c r="R80" i="26"/>
  <c r="O80" i="26" s="1"/>
  <c r="R79" i="26"/>
  <c r="O79" i="26" s="1"/>
  <c r="R78" i="26"/>
  <c r="O78" i="26" s="1"/>
  <c r="R76" i="26"/>
  <c r="O76" i="26" s="1"/>
  <c r="R75" i="26"/>
  <c r="O75" i="26" s="1"/>
  <c r="R74" i="26"/>
  <c r="N74" i="26" s="1"/>
  <c r="R73" i="26"/>
  <c r="N73" i="26" s="1"/>
  <c r="R72" i="26"/>
  <c r="R77" i="26"/>
  <c r="O77" i="26" s="1"/>
  <c r="C54" i="26"/>
  <c r="AD67" i="26" s="1"/>
  <c r="C53" i="26"/>
  <c r="W53" i="26" s="1"/>
  <c r="C52" i="26"/>
  <c r="T65" i="26" s="1"/>
  <c r="C51" i="26"/>
  <c r="AD51" i="26" s="1"/>
  <c r="C50" i="26"/>
  <c r="F50" i="26" s="1"/>
  <c r="C49" i="26"/>
  <c r="W49" i="26" s="1"/>
  <c r="C48" i="26"/>
  <c r="U48" i="26" s="1"/>
  <c r="C47" i="26"/>
  <c r="F47" i="26" s="1"/>
  <c r="H11" i="6"/>
  <c r="H12" i="6"/>
  <c r="T59" i="11"/>
  <c r="G10" i="11"/>
  <c r="G67" i="11" s="1"/>
  <c r="C11" i="6"/>
  <c r="K6" i="24"/>
  <c r="K7" i="24"/>
  <c r="K8" i="24"/>
  <c r="K9" i="24"/>
  <c r="K10" i="24"/>
  <c r="K11" i="24"/>
  <c r="K12" i="24"/>
  <c r="K13" i="24"/>
  <c r="K14" i="24"/>
  <c r="K5" i="24"/>
  <c r="M42" i="11"/>
  <c r="M41" i="11"/>
  <c r="M40" i="11"/>
  <c r="M39" i="11"/>
  <c r="R12" i="11"/>
  <c r="R69" i="11" s="1"/>
  <c r="G12" i="11"/>
  <c r="G69" i="11" s="1"/>
  <c r="R10" i="11"/>
  <c r="R67" i="11" s="1"/>
  <c r="R8" i="11"/>
  <c r="R65" i="11" s="1"/>
  <c r="G8" i="11"/>
  <c r="G65" i="11" s="1"/>
  <c r="R6" i="11"/>
  <c r="R63" i="11" s="1"/>
  <c r="G6" i="11"/>
  <c r="G63" i="11" s="1"/>
  <c r="R4" i="11"/>
  <c r="R61" i="11" s="1"/>
  <c r="G4" i="11"/>
  <c r="G61" i="11" s="1"/>
  <c r="R2" i="11"/>
  <c r="R59" i="11" s="1"/>
  <c r="J77" i="9"/>
  <c r="F77" i="9"/>
  <c r="E77" i="9"/>
  <c r="D77" i="9"/>
  <c r="C77" i="9"/>
  <c r="J76" i="9"/>
  <c r="F76" i="9"/>
  <c r="E76" i="9"/>
  <c r="D76" i="9"/>
  <c r="C76" i="9"/>
  <c r="D77" i="5"/>
  <c r="C77" i="5"/>
  <c r="J76" i="5"/>
  <c r="H76" i="5"/>
  <c r="G76" i="5"/>
  <c r="F76" i="5"/>
  <c r="E76" i="5"/>
  <c r="D76" i="5"/>
  <c r="C76" i="5"/>
  <c r="H77" i="5"/>
  <c r="G77" i="5"/>
  <c r="H139" i="5"/>
  <c r="F139" i="5"/>
  <c r="H138" i="5"/>
  <c r="F138" i="5"/>
  <c r="H137" i="5"/>
  <c r="F137" i="5"/>
  <c r="H136" i="5"/>
  <c r="F136" i="5"/>
  <c r="H135" i="5"/>
  <c r="F135" i="5"/>
  <c r="H134" i="5"/>
  <c r="F134" i="5"/>
  <c r="H133" i="5"/>
  <c r="F133" i="5"/>
  <c r="H132" i="5"/>
  <c r="F132" i="5"/>
  <c r="H131" i="5"/>
  <c r="F131" i="5"/>
  <c r="H130" i="5"/>
  <c r="F130" i="5"/>
  <c r="H129" i="5"/>
  <c r="F129" i="5"/>
  <c r="H128" i="5"/>
  <c r="F128" i="5"/>
  <c r="H127" i="5"/>
  <c r="F127" i="5"/>
  <c r="H126" i="5"/>
  <c r="F126" i="5"/>
  <c r="H125" i="5"/>
  <c r="F125" i="5"/>
  <c r="H124" i="5"/>
  <c r="F124" i="5"/>
  <c r="H123" i="5"/>
  <c r="F123" i="5"/>
  <c r="H122" i="5"/>
  <c r="F122" i="5"/>
  <c r="H121" i="5"/>
  <c r="F121" i="5"/>
  <c r="H120" i="5"/>
  <c r="F120" i="5"/>
  <c r="H119" i="5"/>
  <c r="F119" i="5"/>
  <c r="H118" i="5"/>
  <c r="F118" i="5"/>
  <c r="H117" i="5"/>
  <c r="F117" i="5"/>
  <c r="H116" i="5"/>
  <c r="F116" i="5"/>
  <c r="H115" i="5"/>
  <c r="F115" i="5"/>
  <c r="H114" i="5"/>
  <c r="F114" i="5"/>
  <c r="H113" i="5"/>
  <c r="F113" i="5"/>
  <c r="H112" i="5"/>
  <c r="F112" i="5"/>
  <c r="H111" i="5"/>
  <c r="F111" i="5"/>
  <c r="H110" i="5"/>
  <c r="F110" i="5"/>
  <c r="H109" i="5"/>
  <c r="F109" i="5"/>
  <c r="H108" i="5"/>
  <c r="F108" i="5"/>
  <c r="H107" i="5"/>
  <c r="F107" i="5"/>
  <c r="H105" i="5"/>
  <c r="F105" i="5"/>
  <c r="H100" i="5"/>
  <c r="F100" i="5"/>
  <c r="H99" i="5"/>
  <c r="F99" i="5"/>
  <c r="H98" i="5"/>
  <c r="F98" i="5"/>
  <c r="H97" i="5"/>
  <c r="F97" i="5"/>
  <c r="H96" i="5"/>
  <c r="F96" i="5"/>
  <c r="H95" i="5"/>
  <c r="F95" i="5"/>
  <c r="H94" i="5"/>
  <c r="F94" i="5"/>
  <c r="H93" i="5"/>
  <c r="F93" i="5"/>
  <c r="H92" i="5"/>
  <c r="F92" i="5"/>
  <c r="H91" i="5"/>
  <c r="F91" i="5"/>
  <c r="H90" i="5"/>
  <c r="F90" i="5"/>
  <c r="H89" i="5"/>
  <c r="F89" i="5"/>
  <c r="H88" i="5"/>
  <c r="F88" i="5"/>
  <c r="H87" i="5"/>
  <c r="F87" i="5"/>
  <c r="H86" i="5"/>
  <c r="F86" i="5"/>
  <c r="H85" i="5"/>
  <c r="F85" i="5"/>
  <c r="H84" i="5"/>
  <c r="F84" i="5"/>
  <c r="H83" i="5"/>
  <c r="F83" i="5"/>
  <c r="H82" i="5"/>
  <c r="F82" i="5"/>
  <c r="H81" i="5"/>
  <c r="F81" i="5"/>
  <c r="H80" i="5"/>
  <c r="F80" i="5"/>
  <c r="H79" i="5"/>
  <c r="F79" i="5"/>
  <c r="H78" i="5"/>
  <c r="F78" i="5"/>
  <c r="F77" i="5"/>
  <c r="H75" i="5"/>
  <c r="F75" i="5"/>
  <c r="H74" i="5"/>
  <c r="F74" i="5"/>
  <c r="H73" i="5"/>
  <c r="F73" i="5"/>
  <c r="H72" i="5"/>
  <c r="F72" i="5"/>
  <c r="H71" i="5"/>
  <c r="F71" i="5"/>
  <c r="H70" i="5"/>
  <c r="F70" i="5"/>
  <c r="H69" i="5"/>
  <c r="F69" i="5"/>
  <c r="H68" i="5"/>
  <c r="F68" i="5"/>
  <c r="H67" i="5"/>
  <c r="F67" i="5"/>
  <c r="H66" i="5"/>
  <c r="F66" i="5"/>
  <c r="H65" i="5"/>
  <c r="F65" i="5"/>
  <c r="H64" i="5"/>
  <c r="F64" i="5"/>
  <c r="H63" i="5"/>
  <c r="F63" i="5"/>
  <c r="H62" i="5"/>
  <c r="F62" i="5"/>
  <c r="H61" i="5"/>
  <c r="F61" i="5"/>
  <c r="H60" i="5"/>
  <c r="F60" i="5"/>
  <c r="H59" i="5"/>
  <c r="F59" i="5"/>
  <c r="H58" i="5"/>
  <c r="F58" i="5"/>
  <c r="H57" i="5"/>
  <c r="F57" i="5"/>
  <c r="H56" i="5"/>
  <c r="F56" i="5"/>
  <c r="H54" i="5"/>
  <c r="F54" i="5"/>
  <c r="H37" i="5"/>
  <c r="F37" i="5"/>
  <c r="H36" i="5"/>
  <c r="F36" i="5"/>
  <c r="H35" i="5"/>
  <c r="F35" i="5"/>
  <c r="H34" i="5"/>
  <c r="F34" i="5"/>
  <c r="H33" i="5"/>
  <c r="F33" i="5"/>
  <c r="H32" i="5"/>
  <c r="F32" i="5"/>
  <c r="H31" i="5"/>
  <c r="F31" i="5"/>
  <c r="H30" i="5"/>
  <c r="F30" i="5"/>
  <c r="H29" i="5"/>
  <c r="F29" i="5"/>
  <c r="H28" i="5"/>
  <c r="F28" i="5"/>
  <c r="H27" i="5"/>
  <c r="F27" i="5"/>
  <c r="H26" i="5"/>
  <c r="F26" i="5"/>
  <c r="H25" i="5"/>
  <c r="F25" i="5"/>
  <c r="H24" i="5"/>
  <c r="F24" i="5"/>
  <c r="H23" i="5"/>
  <c r="F23" i="5"/>
  <c r="H22" i="5"/>
  <c r="F22" i="5"/>
  <c r="H21" i="5"/>
  <c r="F21" i="5"/>
  <c r="H20" i="5"/>
  <c r="F20" i="5"/>
  <c r="H18" i="5"/>
  <c r="F18" i="5"/>
  <c r="H17" i="5"/>
  <c r="F17" i="5"/>
  <c r="H16" i="5"/>
  <c r="F16" i="5"/>
  <c r="H15" i="5"/>
  <c r="F15" i="5"/>
  <c r="H14" i="5"/>
  <c r="F14" i="5"/>
  <c r="H13" i="5"/>
  <c r="F13" i="5"/>
  <c r="J77" i="5"/>
  <c r="E77" i="5"/>
  <c r="J117" i="9"/>
  <c r="F117" i="9"/>
  <c r="E117" i="9"/>
  <c r="D117" i="9"/>
  <c r="C117" i="9"/>
  <c r="J116" i="9"/>
  <c r="F116" i="9"/>
  <c r="E116" i="9"/>
  <c r="D116" i="9"/>
  <c r="C116" i="9"/>
  <c r="J115" i="9"/>
  <c r="F115" i="9"/>
  <c r="E115" i="9"/>
  <c r="D115" i="9"/>
  <c r="C115" i="9"/>
  <c r="J75" i="9"/>
  <c r="F75" i="9"/>
  <c r="E75" i="9"/>
  <c r="D75" i="9"/>
  <c r="C75" i="9"/>
  <c r="J67" i="9"/>
  <c r="F67" i="9"/>
  <c r="E67" i="9"/>
  <c r="D67" i="9"/>
  <c r="C67" i="9"/>
  <c r="J66" i="9"/>
  <c r="F66" i="9"/>
  <c r="E66" i="9"/>
  <c r="D66" i="9"/>
  <c r="C66" i="9"/>
  <c r="J117" i="5"/>
  <c r="G117" i="5"/>
  <c r="E117" i="5"/>
  <c r="D117" i="5"/>
  <c r="C117" i="5"/>
  <c r="J116" i="5"/>
  <c r="G116" i="5"/>
  <c r="E116" i="5"/>
  <c r="D116" i="5"/>
  <c r="C116" i="5"/>
  <c r="J115" i="5"/>
  <c r="G115" i="5"/>
  <c r="E115" i="5"/>
  <c r="D115" i="5"/>
  <c r="C115" i="5"/>
  <c r="J114" i="5"/>
  <c r="G114" i="5"/>
  <c r="E114" i="5"/>
  <c r="D114" i="5"/>
  <c r="C114" i="5"/>
  <c r="J100" i="5"/>
  <c r="G100" i="5"/>
  <c r="E100" i="5"/>
  <c r="D100" i="5"/>
  <c r="C100" i="5"/>
  <c r="J75" i="5"/>
  <c r="G75" i="5"/>
  <c r="E75" i="5"/>
  <c r="D75" i="5"/>
  <c r="C75" i="5"/>
  <c r="J74" i="5"/>
  <c r="G74" i="5"/>
  <c r="E74" i="5"/>
  <c r="D74" i="5"/>
  <c r="C74" i="5"/>
  <c r="J73" i="5"/>
  <c r="G73" i="5"/>
  <c r="E73" i="5"/>
  <c r="D73" i="5"/>
  <c r="C73" i="5"/>
  <c r="J67" i="5"/>
  <c r="G67" i="5"/>
  <c r="E67" i="5"/>
  <c r="D67" i="5"/>
  <c r="C67" i="5"/>
  <c r="J66" i="5"/>
  <c r="G66" i="5"/>
  <c r="E66" i="5"/>
  <c r="D66" i="5"/>
  <c r="C66" i="5"/>
  <c r="J114" i="9"/>
  <c r="F114" i="9"/>
  <c r="E114" i="9"/>
  <c r="D114" i="9"/>
  <c r="C114" i="9"/>
  <c r="J100" i="9"/>
  <c r="F100" i="9"/>
  <c r="E100" i="9"/>
  <c r="D100" i="9"/>
  <c r="C100" i="9"/>
  <c r="J73" i="9"/>
  <c r="F73" i="9"/>
  <c r="E73" i="9"/>
  <c r="D73" i="9"/>
  <c r="C73" i="9"/>
  <c r="C74" i="9"/>
  <c r="J74" i="9"/>
  <c r="F74" i="9"/>
  <c r="E74" i="9"/>
  <c r="D74" i="9"/>
  <c r="F139" i="9"/>
  <c r="E139" i="9"/>
  <c r="F138" i="9"/>
  <c r="E138" i="9"/>
  <c r="F137" i="9"/>
  <c r="E137" i="9"/>
  <c r="F136" i="9"/>
  <c r="E136" i="9"/>
  <c r="F135" i="9"/>
  <c r="E135" i="9"/>
  <c r="F134" i="9"/>
  <c r="E134" i="9"/>
  <c r="F133" i="9"/>
  <c r="E133" i="9"/>
  <c r="F132" i="9"/>
  <c r="E132" i="9"/>
  <c r="J131" i="9"/>
  <c r="F131" i="9"/>
  <c r="E131" i="9"/>
  <c r="D131" i="9"/>
  <c r="C131" i="9"/>
  <c r="F130" i="9"/>
  <c r="E130" i="9"/>
  <c r="J129" i="9"/>
  <c r="F129" i="9"/>
  <c r="E129" i="9"/>
  <c r="D129" i="9"/>
  <c r="C129" i="9"/>
  <c r="F128" i="9"/>
  <c r="J127" i="9"/>
  <c r="F127" i="9"/>
  <c r="E127" i="9"/>
  <c r="D127" i="9"/>
  <c r="C127" i="9"/>
  <c r="J126" i="9"/>
  <c r="F126" i="9"/>
  <c r="E126" i="9"/>
  <c r="D126" i="9"/>
  <c r="C126" i="9"/>
  <c r="J125" i="9"/>
  <c r="F125" i="9"/>
  <c r="E125" i="9"/>
  <c r="D125" i="9"/>
  <c r="C125" i="9"/>
  <c r="F124" i="9"/>
  <c r="E124" i="9"/>
  <c r="F123" i="9"/>
  <c r="E123" i="9"/>
  <c r="F122" i="9"/>
  <c r="E122" i="9"/>
  <c r="F121" i="9"/>
  <c r="E121" i="9"/>
  <c r="F120" i="9"/>
  <c r="E120" i="9"/>
  <c r="J119" i="9"/>
  <c r="F119" i="9"/>
  <c r="E119" i="9"/>
  <c r="D119" i="9"/>
  <c r="C119" i="9"/>
  <c r="J118" i="9"/>
  <c r="F118" i="9"/>
  <c r="E118" i="9"/>
  <c r="D118" i="9"/>
  <c r="C118" i="9"/>
  <c r="J113" i="9"/>
  <c r="F113" i="9"/>
  <c r="E113" i="9"/>
  <c r="D113" i="9"/>
  <c r="C113" i="9"/>
  <c r="J112" i="9"/>
  <c r="F112" i="9"/>
  <c r="E112" i="9"/>
  <c r="D112" i="9"/>
  <c r="C112" i="9"/>
  <c r="J111" i="9"/>
  <c r="F111" i="9"/>
  <c r="E111" i="9"/>
  <c r="D111" i="9"/>
  <c r="C111" i="9"/>
  <c r="J110" i="9"/>
  <c r="F110" i="9"/>
  <c r="E110" i="9"/>
  <c r="D110" i="9"/>
  <c r="C110" i="9"/>
  <c r="J109" i="9"/>
  <c r="F109" i="9"/>
  <c r="E109" i="9"/>
  <c r="D109" i="9"/>
  <c r="C109" i="9"/>
  <c r="J108" i="9"/>
  <c r="F108" i="9"/>
  <c r="E108" i="9"/>
  <c r="D108" i="9"/>
  <c r="C108" i="9"/>
  <c r="J105" i="9"/>
  <c r="F105" i="9"/>
  <c r="E105" i="9"/>
  <c r="D105" i="9"/>
  <c r="C105" i="9"/>
  <c r="J104" i="9"/>
  <c r="F104" i="9"/>
  <c r="E104" i="9"/>
  <c r="D104" i="9"/>
  <c r="C104" i="9"/>
  <c r="J103" i="9"/>
  <c r="F103" i="9"/>
  <c r="E103" i="9"/>
  <c r="D103" i="9"/>
  <c r="C103" i="9"/>
  <c r="J107" i="9"/>
  <c r="F107" i="9"/>
  <c r="E107" i="9"/>
  <c r="D107" i="9"/>
  <c r="C107" i="9"/>
  <c r="J99" i="9"/>
  <c r="F99" i="9"/>
  <c r="E99" i="9"/>
  <c r="D99" i="9"/>
  <c r="C99" i="9"/>
  <c r="J98" i="9"/>
  <c r="F98" i="9"/>
  <c r="E98" i="9"/>
  <c r="D98" i="9"/>
  <c r="C98" i="9"/>
  <c r="J97" i="9"/>
  <c r="F97" i="9"/>
  <c r="E97" i="9"/>
  <c r="D97" i="9"/>
  <c r="C97" i="9"/>
  <c r="J96" i="9"/>
  <c r="F96" i="9"/>
  <c r="E96" i="9"/>
  <c r="D96" i="9"/>
  <c r="C96" i="9"/>
  <c r="J95" i="9"/>
  <c r="F95" i="9"/>
  <c r="E95" i="9"/>
  <c r="D95" i="9"/>
  <c r="C95" i="9"/>
  <c r="J94" i="9"/>
  <c r="F94" i="9"/>
  <c r="E94" i="9"/>
  <c r="D94" i="9"/>
  <c r="C94" i="9"/>
  <c r="J93" i="9"/>
  <c r="F93" i="9"/>
  <c r="E93" i="9"/>
  <c r="D93" i="9"/>
  <c r="C93" i="9"/>
  <c r="J92" i="9"/>
  <c r="F92" i="9"/>
  <c r="E92" i="9"/>
  <c r="D92" i="9"/>
  <c r="C92" i="9"/>
  <c r="J91" i="9"/>
  <c r="F91" i="9"/>
  <c r="E91" i="9"/>
  <c r="D91" i="9"/>
  <c r="C91" i="9"/>
  <c r="J90" i="9"/>
  <c r="F90" i="9"/>
  <c r="E90" i="9"/>
  <c r="D90" i="9"/>
  <c r="C90" i="9"/>
  <c r="J89" i="9"/>
  <c r="F89" i="9"/>
  <c r="E89" i="9"/>
  <c r="D89" i="9"/>
  <c r="C89" i="9"/>
  <c r="J88" i="9"/>
  <c r="F88" i="9"/>
  <c r="E88" i="9"/>
  <c r="D88" i="9"/>
  <c r="C88" i="9"/>
  <c r="F87" i="9"/>
  <c r="E87" i="9"/>
  <c r="J86" i="9"/>
  <c r="F86" i="9"/>
  <c r="E86" i="9"/>
  <c r="D86" i="9"/>
  <c r="C86" i="9"/>
  <c r="J85" i="9"/>
  <c r="F85" i="9"/>
  <c r="E85" i="9"/>
  <c r="D85" i="9"/>
  <c r="C85" i="9"/>
  <c r="J84" i="9"/>
  <c r="F84" i="9"/>
  <c r="E84" i="9"/>
  <c r="D84" i="9"/>
  <c r="C84" i="9"/>
  <c r="J83" i="9"/>
  <c r="F83" i="9"/>
  <c r="E83" i="9"/>
  <c r="D83" i="9"/>
  <c r="C83" i="9"/>
  <c r="J82" i="9"/>
  <c r="F82" i="9"/>
  <c r="E82" i="9"/>
  <c r="D82" i="9"/>
  <c r="C82" i="9"/>
  <c r="J81" i="9"/>
  <c r="F81" i="9"/>
  <c r="E81" i="9"/>
  <c r="D81" i="9"/>
  <c r="C81" i="9"/>
  <c r="J80" i="9"/>
  <c r="F80" i="9"/>
  <c r="E80" i="9"/>
  <c r="D80" i="9"/>
  <c r="C80" i="9"/>
  <c r="J79" i="9"/>
  <c r="F79" i="9"/>
  <c r="E79" i="9"/>
  <c r="D79" i="9"/>
  <c r="C79" i="9"/>
  <c r="J78" i="9"/>
  <c r="F78" i="9"/>
  <c r="E78" i="9"/>
  <c r="D78" i="9"/>
  <c r="C78" i="9"/>
  <c r="J72" i="9"/>
  <c r="F72" i="9"/>
  <c r="E72" i="9"/>
  <c r="D72" i="9"/>
  <c r="C72" i="9"/>
  <c r="J71" i="9"/>
  <c r="F71" i="9"/>
  <c r="E71" i="9"/>
  <c r="D71" i="9"/>
  <c r="C71" i="9"/>
  <c r="J70" i="9"/>
  <c r="F70" i="9"/>
  <c r="E70" i="9"/>
  <c r="D70" i="9"/>
  <c r="C70" i="9"/>
  <c r="J69" i="9"/>
  <c r="F69" i="9"/>
  <c r="E69" i="9"/>
  <c r="D69" i="9"/>
  <c r="C69" i="9"/>
  <c r="J68" i="9"/>
  <c r="F68" i="9"/>
  <c r="E68" i="9"/>
  <c r="D68" i="9"/>
  <c r="C68" i="9"/>
  <c r="J65" i="9"/>
  <c r="F65" i="9"/>
  <c r="E65" i="9"/>
  <c r="D65" i="9"/>
  <c r="C65" i="9"/>
  <c r="J64" i="9"/>
  <c r="F64" i="9"/>
  <c r="E64" i="9"/>
  <c r="D64" i="9"/>
  <c r="C64" i="9"/>
  <c r="J63" i="9"/>
  <c r="F63" i="9"/>
  <c r="E63" i="9"/>
  <c r="D63" i="9"/>
  <c r="C63" i="9"/>
  <c r="J62" i="9"/>
  <c r="F62" i="9"/>
  <c r="E62" i="9"/>
  <c r="D62" i="9"/>
  <c r="C62" i="9"/>
  <c r="J61" i="9"/>
  <c r="F61" i="9"/>
  <c r="E61" i="9"/>
  <c r="D61" i="9"/>
  <c r="C61" i="9"/>
  <c r="J60" i="9"/>
  <c r="F60" i="9"/>
  <c r="E60" i="9"/>
  <c r="D60" i="9"/>
  <c r="C60" i="9"/>
  <c r="J59" i="9"/>
  <c r="F59" i="9"/>
  <c r="E59" i="9"/>
  <c r="D59" i="9"/>
  <c r="C59" i="9"/>
  <c r="J58" i="9"/>
  <c r="F58" i="9"/>
  <c r="E58" i="9"/>
  <c r="D58" i="9"/>
  <c r="C58" i="9"/>
  <c r="J57" i="9"/>
  <c r="F57" i="9"/>
  <c r="E57" i="9"/>
  <c r="D57" i="9"/>
  <c r="C57" i="9"/>
  <c r="J56" i="9"/>
  <c r="F56" i="9"/>
  <c r="E56" i="9"/>
  <c r="D56" i="9"/>
  <c r="C56" i="9"/>
  <c r="J54" i="9"/>
  <c r="F54" i="9"/>
  <c r="E54" i="9"/>
  <c r="D54" i="9"/>
  <c r="C54" i="9"/>
  <c r="J53" i="9"/>
  <c r="F53" i="9"/>
  <c r="E53" i="9"/>
  <c r="D53" i="9"/>
  <c r="C53" i="9"/>
  <c r="J52" i="9"/>
  <c r="J2" i="9" s="1"/>
  <c r="F52" i="9"/>
  <c r="E52" i="9"/>
  <c r="D52" i="9"/>
  <c r="C52" i="9"/>
  <c r="J43" i="9"/>
  <c r="I43" i="9"/>
  <c r="E43" i="9"/>
  <c r="J42" i="9"/>
  <c r="I42" i="9"/>
  <c r="J41" i="9"/>
  <c r="I41" i="9"/>
  <c r="J40" i="9"/>
  <c r="I40" i="9"/>
  <c r="E40" i="9"/>
  <c r="J37" i="9"/>
  <c r="F37" i="9"/>
  <c r="E37" i="9"/>
  <c r="D37" i="9"/>
  <c r="C37" i="9"/>
  <c r="F36" i="9"/>
  <c r="E36" i="9"/>
  <c r="F35" i="9"/>
  <c r="E35" i="9"/>
  <c r="F34" i="9"/>
  <c r="E34" i="9"/>
  <c r="F33" i="9"/>
  <c r="E33" i="9"/>
  <c r="F32" i="9"/>
  <c r="E32" i="9"/>
  <c r="F31" i="9"/>
  <c r="E31" i="9"/>
  <c r="F30" i="9"/>
  <c r="E30" i="9"/>
  <c r="F29" i="9"/>
  <c r="E29" i="9"/>
  <c r="F28" i="9"/>
  <c r="E28" i="9"/>
  <c r="F27" i="9"/>
  <c r="F26" i="9"/>
  <c r="E26" i="9"/>
  <c r="F25" i="9"/>
  <c r="E25" i="9"/>
  <c r="F24" i="9"/>
  <c r="E24" i="9"/>
  <c r="F23" i="9"/>
  <c r="E23" i="9"/>
  <c r="F22" i="9"/>
  <c r="E22" i="9"/>
  <c r="F21" i="9"/>
  <c r="E21" i="9"/>
  <c r="F20" i="9"/>
  <c r="E20" i="9"/>
  <c r="D20" i="9"/>
  <c r="C20" i="9"/>
  <c r="J18" i="9"/>
  <c r="F18" i="9"/>
  <c r="E18" i="9"/>
  <c r="D18" i="9"/>
  <c r="C18" i="9"/>
  <c r="J17" i="9"/>
  <c r="F17" i="9"/>
  <c r="E17" i="9"/>
  <c r="D17" i="9"/>
  <c r="C17" i="9"/>
  <c r="J16" i="9"/>
  <c r="F16" i="9"/>
  <c r="E16" i="9"/>
  <c r="D16" i="9"/>
  <c r="C16" i="9"/>
  <c r="J15" i="9"/>
  <c r="F15" i="9"/>
  <c r="E15" i="9"/>
  <c r="D15" i="9"/>
  <c r="C15" i="9"/>
  <c r="J14" i="9"/>
  <c r="F14" i="9"/>
  <c r="E14" i="9"/>
  <c r="D14" i="9"/>
  <c r="C14" i="9"/>
  <c r="J13" i="9"/>
  <c r="F13" i="9"/>
  <c r="E13" i="9"/>
  <c r="D13" i="9"/>
  <c r="C13" i="9"/>
  <c r="J8" i="9"/>
  <c r="B8" i="9"/>
  <c r="J7" i="9"/>
  <c r="B7" i="9"/>
  <c r="J6" i="9"/>
  <c r="B6" i="9"/>
  <c r="J5" i="9"/>
  <c r="B5" i="9"/>
  <c r="J4" i="9"/>
  <c r="B4" i="9"/>
  <c r="J3" i="9"/>
  <c r="B3" i="9"/>
  <c r="B2" i="9"/>
  <c r="H36" i="6"/>
  <c r="C7" i="6"/>
  <c r="C8" i="6"/>
  <c r="C10" i="6"/>
  <c r="C12" i="6"/>
  <c r="H44" i="6"/>
  <c r="H37" i="6"/>
  <c r="H35" i="6"/>
  <c r="H9" i="6"/>
  <c r="H8" i="6"/>
  <c r="H7" i="6"/>
  <c r="H6" i="6"/>
  <c r="B8" i="5"/>
  <c r="B7" i="5"/>
  <c r="B6" i="5"/>
  <c r="B5" i="5"/>
  <c r="B4" i="5"/>
  <c r="B3" i="5"/>
  <c r="B2" i="5"/>
  <c r="J8" i="5"/>
  <c r="J7" i="5"/>
  <c r="J6" i="5"/>
  <c r="J5" i="5"/>
  <c r="J4" i="5"/>
  <c r="J3" i="5"/>
  <c r="J105" i="5"/>
  <c r="G105" i="5"/>
  <c r="E105" i="5"/>
  <c r="D105" i="5"/>
  <c r="C105" i="5"/>
  <c r="G54" i="5"/>
  <c r="E54" i="5"/>
  <c r="D54" i="5"/>
  <c r="C54" i="5"/>
  <c r="J54" i="5"/>
  <c r="J95" i="5"/>
  <c r="G95" i="5"/>
  <c r="E95" i="5"/>
  <c r="D95" i="5"/>
  <c r="C95" i="5"/>
  <c r="J59" i="5"/>
  <c r="G59" i="5"/>
  <c r="E59" i="5"/>
  <c r="D59" i="5"/>
  <c r="C59" i="5"/>
  <c r="J104" i="5"/>
  <c r="H104" i="5"/>
  <c r="G104" i="5"/>
  <c r="F104" i="5"/>
  <c r="E104" i="5"/>
  <c r="D104" i="5"/>
  <c r="C104" i="5"/>
  <c r="J103" i="5"/>
  <c r="H103" i="5"/>
  <c r="G103" i="5"/>
  <c r="F103" i="5"/>
  <c r="E103" i="5"/>
  <c r="D103" i="5"/>
  <c r="C103" i="5"/>
  <c r="J94" i="5"/>
  <c r="G94" i="5"/>
  <c r="E94" i="5"/>
  <c r="D94" i="5"/>
  <c r="C94" i="5"/>
  <c r="J93" i="5"/>
  <c r="G93" i="5"/>
  <c r="E93" i="5"/>
  <c r="D93" i="5"/>
  <c r="C93" i="5"/>
  <c r="E40" i="5"/>
  <c r="G52" i="5"/>
  <c r="G139" i="5"/>
  <c r="E139" i="5"/>
  <c r="G138" i="5"/>
  <c r="E138" i="5"/>
  <c r="G137" i="5"/>
  <c r="E137" i="5"/>
  <c r="G136" i="5"/>
  <c r="E136" i="5"/>
  <c r="G135" i="5"/>
  <c r="E135" i="5"/>
  <c r="G134" i="5"/>
  <c r="E134" i="5"/>
  <c r="G133" i="5"/>
  <c r="E133" i="5"/>
  <c r="G132" i="5"/>
  <c r="E132" i="5"/>
  <c r="J131" i="5"/>
  <c r="G131" i="5"/>
  <c r="E131" i="5"/>
  <c r="D131" i="5"/>
  <c r="C131" i="5"/>
  <c r="G130" i="5"/>
  <c r="E130" i="5"/>
  <c r="J129" i="5"/>
  <c r="G129" i="5"/>
  <c r="E129" i="5"/>
  <c r="D129" i="5"/>
  <c r="C129" i="5"/>
  <c r="J127" i="5"/>
  <c r="G127" i="5"/>
  <c r="E127" i="5"/>
  <c r="D127" i="5"/>
  <c r="C127" i="5"/>
  <c r="J126" i="5"/>
  <c r="G126" i="5"/>
  <c r="E126" i="5"/>
  <c r="D126" i="5"/>
  <c r="C126" i="5"/>
  <c r="J125" i="5"/>
  <c r="G125" i="5"/>
  <c r="E125" i="5"/>
  <c r="D125" i="5"/>
  <c r="C125" i="5"/>
  <c r="G124" i="5"/>
  <c r="E124" i="5"/>
  <c r="G123" i="5"/>
  <c r="E123" i="5"/>
  <c r="G122" i="5"/>
  <c r="E122" i="5"/>
  <c r="G121" i="5"/>
  <c r="E121" i="5"/>
  <c r="G120" i="5"/>
  <c r="E120" i="5"/>
  <c r="J119" i="5"/>
  <c r="G119" i="5"/>
  <c r="E119" i="5"/>
  <c r="D119" i="5"/>
  <c r="C119" i="5"/>
  <c r="J118" i="5"/>
  <c r="G118" i="5"/>
  <c r="E118" i="5"/>
  <c r="D118" i="5"/>
  <c r="C118" i="5"/>
  <c r="J113" i="5"/>
  <c r="G113" i="5"/>
  <c r="E113" i="5"/>
  <c r="D113" i="5"/>
  <c r="C113" i="5"/>
  <c r="J112" i="5"/>
  <c r="G112" i="5"/>
  <c r="E112" i="5"/>
  <c r="D112" i="5"/>
  <c r="C112" i="5"/>
  <c r="J111" i="5"/>
  <c r="G111" i="5"/>
  <c r="E111" i="5"/>
  <c r="D111" i="5"/>
  <c r="C111" i="5"/>
  <c r="J110" i="5"/>
  <c r="G110" i="5"/>
  <c r="E110" i="5"/>
  <c r="D110" i="5"/>
  <c r="C110" i="5"/>
  <c r="J109" i="5"/>
  <c r="G109" i="5"/>
  <c r="E109" i="5"/>
  <c r="D109" i="5"/>
  <c r="C109" i="5"/>
  <c r="J108" i="5"/>
  <c r="G108" i="5"/>
  <c r="E108" i="5"/>
  <c r="D108" i="5"/>
  <c r="C108" i="5"/>
  <c r="J107" i="5"/>
  <c r="G107" i="5"/>
  <c r="E107" i="5"/>
  <c r="D107" i="5"/>
  <c r="C107" i="5"/>
  <c r="J99" i="5"/>
  <c r="G99" i="5"/>
  <c r="E99" i="5"/>
  <c r="D99" i="5"/>
  <c r="C99" i="5"/>
  <c r="J98" i="5"/>
  <c r="G98" i="5"/>
  <c r="E98" i="5"/>
  <c r="D98" i="5"/>
  <c r="C98" i="5"/>
  <c r="J97" i="5"/>
  <c r="G97" i="5"/>
  <c r="E97" i="5"/>
  <c r="D97" i="5"/>
  <c r="C97" i="5"/>
  <c r="J96" i="5"/>
  <c r="G96" i="5"/>
  <c r="E96" i="5"/>
  <c r="D96" i="5"/>
  <c r="C96" i="5"/>
  <c r="J92" i="5"/>
  <c r="G92" i="5"/>
  <c r="E92" i="5"/>
  <c r="D92" i="5"/>
  <c r="C92" i="5"/>
  <c r="J91" i="5"/>
  <c r="G91" i="5"/>
  <c r="E91" i="5"/>
  <c r="D91" i="5"/>
  <c r="C91" i="5"/>
  <c r="J90" i="5"/>
  <c r="G90" i="5"/>
  <c r="E90" i="5"/>
  <c r="D90" i="5"/>
  <c r="C90" i="5"/>
  <c r="J89" i="5"/>
  <c r="G89" i="5"/>
  <c r="E89" i="5"/>
  <c r="D89" i="5"/>
  <c r="C89" i="5"/>
  <c r="J88" i="5"/>
  <c r="G88" i="5"/>
  <c r="E88" i="5"/>
  <c r="D88" i="5"/>
  <c r="C88" i="5"/>
  <c r="G87" i="5"/>
  <c r="E87" i="5"/>
  <c r="J86" i="5"/>
  <c r="G86" i="5"/>
  <c r="E86" i="5"/>
  <c r="D86" i="5"/>
  <c r="C86" i="5"/>
  <c r="J85" i="5"/>
  <c r="G85" i="5"/>
  <c r="E85" i="5"/>
  <c r="D85" i="5"/>
  <c r="C85" i="5"/>
  <c r="J84" i="5"/>
  <c r="G84" i="5"/>
  <c r="E84" i="5"/>
  <c r="D84" i="5"/>
  <c r="C84" i="5"/>
  <c r="J83" i="5"/>
  <c r="G83" i="5"/>
  <c r="E83" i="5"/>
  <c r="D83" i="5"/>
  <c r="C83" i="5"/>
  <c r="J82" i="5"/>
  <c r="G82" i="5"/>
  <c r="E82" i="5"/>
  <c r="D82" i="5"/>
  <c r="C82" i="5"/>
  <c r="J81" i="5"/>
  <c r="G81" i="5"/>
  <c r="E81" i="5"/>
  <c r="D81" i="5"/>
  <c r="C81" i="5"/>
  <c r="J80" i="5"/>
  <c r="G80" i="5"/>
  <c r="E80" i="5"/>
  <c r="D80" i="5"/>
  <c r="C80" i="5"/>
  <c r="J79" i="5"/>
  <c r="G79" i="5"/>
  <c r="E79" i="5"/>
  <c r="D79" i="5"/>
  <c r="C79" i="5"/>
  <c r="J78" i="5"/>
  <c r="G78" i="5"/>
  <c r="E78" i="5"/>
  <c r="D78" i="5"/>
  <c r="C78" i="5"/>
  <c r="J72" i="5"/>
  <c r="G72" i="5"/>
  <c r="E72" i="5"/>
  <c r="D72" i="5"/>
  <c r="C72" i="5"/>
  <c r="J71" i="5"/>
  <c r="G71" i="5"/>
  <c r="E71" i="5"/>
  <c r="D71" i="5"/>
  <c r="C71" i="5"/>
  <c r="J70" i="5"/>
  <c r="G70" i="5"/>
  <c r="E70" i="5"/>
  <c r="D70" i="5"/>
  <c r="C70" i="5"/>
  <c r="J69" i="5"/>
  <c r="G69" i="5"/>
  <c r="E69" i="5"/>
  <c r="D69" i="5"/>
  <c r="C69" i="5"/>
  <c r="J68" i="5"/>
  <c r="G68" i="5"/>
  <c r="E68" i="5"/>
  <c r="D68" i="5"/>
  <c r="C68" i="5"/>
  <c r="J65" i="5"/>
  <c r="G65" i="5"/>
  <c r="E65" i="5"/>
  <c r="D65" i="5"/>
  <c r="C65" i="5"/>
  <c r="J64" i="5"/>
  <c r="G64" i="5"/>
  <c r="E64" i="5"/>
  <c r="D64" i="5"/>
  <c r="C64" i="5"/>
  <c r="J63" i="5"/>
  <c r="G63" i="5"/>
  <c r="E63" i="5"/>
  <c r="D63" i="5"/>
  <c r="C63" i="5"/>
  <c r="J62" i="5"/>
  <c r="G62" i="5"/>
  <c r="E62" i="5"/>
  <c r="D62" i="5"/>
  <c r="C62" i="5"/>
  <c r="J61" i="5"/>
  <c r="G61" i="5"/>
  <c r="E61" i="5"/>
  <c r="D61" i="5"/>
  <c r="C61" i="5"/>
  <c r="J60" i="5"/>
  <c r="G60" i="5"/>
  <c r="E60" i="5"/>
  <c r="D60" i="5"/>
  <c r="C60" i="5"/>
  <c r="J58" i="5"/>
  <c r="G58" i="5"/>
  <c r="E58" i="5"/>
  <c r="D58" i="5"/>
  <c r="C58" i="5"/>
  <c r="J57" i="5"/>
  <c r="G57" i="5"/>
  <c r="E57" i="5"/>
  <c r="D57" i="5"/>
  <c r="C57" i="5"/>
  <c r="J56" i="5"/>
  <c r="G56" i="5"/>
  <c r="E56" i="5"/>
  <c r="D56" i="5"/>
  <c r="C56" i="5"/>
  <c r="J53" i="5"/>
  <c r="H53" i="5"/>
  <c r="G53" i="5"/>
  <c r="F53" i="5"/>
  <c r="E53" i="5"/>
  <c r="D53" i="5"/>
  <c r="C53" i="5"/>
  <c r="J52" i="5"/>
  <c r="J2" i="5" s="1"/>
  <c r="H52" i="5"/>
  <c r="F52" i="5"/>
  <c r="E52" i="5"/>
  <c r="D52" i="5"/>
  <c r="C52" i="5"/>
  <c r="J43" i="5"/>
  <c r="I43" i="5"/>
  <c r="E43" i="5"/>
  <c r="J42" i="5"/>
  <c r="I42" i="5"/>
  <c r="J41" i="5"/>
  <c r="I41" i="5"/>
  <c r="J40" i="5"/>
  <c r="I40" i="5"/>
  <c r="J37" i="5"/>
  <c r="G37" i="5"/>
  <c r="E37" i="5"/>
  <c r="D37" i="5"/>
  <c r="C37" i="5"/>
  <c r="G36" i="5"/>
  <c r="E36" i="5"/>
  <c r="G35" i="5"/>
  <c r="E35" i="5"/>
  <c r="G34" i="5"/>
  <c r="E34" i="5"/>
  <c r="G33" i="5"/>
  <c r="E33" i="5"/>
  <c r="G32" i="5"/>
  <c r="E32" i="5"/>
  <c r="G31" i="5"/>
  <c r="E31" i="5"/>
  <c r="G30" i="5"/>
  <c r="E30" i="5"/>
  <c r="G29" i="5"/>
  <c r="E29" i="5"/>
  <c r="G28" i="5"/>
  <c r="E28" i="5"/>
  <c r="G26" i="5"/>
  <c r="E26" i="5"/>
  <c r="G25" i="5"/>
  <c r="E25" i="5"/>
  <c r="G24" i="5"/>
  <c r="E24" i="5"/>
  <c r="G23" i="5"/>
  <c r="E23" i="5"/>
  <c r="G22" i="5"/>
  <c r="E22" i="5"/>
  <c r="G21" i="5"/>
  <c r="E21" i="5"/>
  <c r="G20" i="5"/>
  <c r="E20" i="5"/>
  <c r="D20" i="5"/>
  <c r="C20" i="5"/>
  <c r="J18" i="5"/>
  <c r="G18" i="5"/>
  <c r="E18" i="5"/>
  <c r="D18" i="5"/>
  <c r="C18" i="5"/>
  <c r="J17" i="5"/>
  <c r="G17" i="5"/>
  <c r="E17" i="5"/>
  <c r="D17" i="5"/>
  <c r="C17" i="5"/>
  <c r="J16" i="5"/>
  <c r="G16" i="5"/>
  <c r="E16" i="5"/>
  <c r="D16" i="5"/>
  <c r="C16" i="5"/>
  <c r="J15" i="5"/>
  <c r="G15" i="5"/>
  <c r="E15" i="5"/>
  <c r="D15" i="5"/>
  <c r="C15" i="5"/>
  <c r="J14" i="5"/>
  <c r="G14" i="5"/>
  <c r="E14" i="5"/>
  <c r="D14" i="5"/>
  <c r="C14" i="5"/>
  <c r="J13" i="5"/>
  <c r="G13" i="5"/>
  <c r="E13" i="5"/>
  <c r="D13" i="5"/>
  <c r="C13" i="5"/>
  <c r="I19" i="24"/>
  <c r="N79" i="26"/>
  <c r="G63" i="26"/>
  <c r="Z66" i="26"/>
  <c r="W50" i="26"/>
  <c r="AB50" i="26"/>
  <c r="AA63" i="26"/>
  <c r="AJ63" i="26"/>
  <c r="Z63" i="26"/>
  <c r="Q63" i="26"/>
  <c r="Y63" i="26"/>
  <c r="O63" i="26"/>
  <c r="L50" i="26"/>
  <c r="L63" i="26"/>
  <c r="V46" i="26"/>
  <c r="G50" i="26"/>
  <c r="E50" i="26"/>
  <c r="T63" i="26"/>
  <c r="M63" i="26"/>
  <c r="E63" i="26"/>
  <c r="P50" i="26"/>
  <c r="Z50" i="26"/>
  <c r="V63" i="26"/>
  <c r="R50" i="26"/>
  <c r="AN50" i="26"/>
  <c r="AJ50" i="26"/>
  <c r="AA50" i="26"/>
  <c r="AK50" i="26"/>
  <c r="W63" i="26"/>
  <c r="AG63" i="26"/>
  <c r="AQ63" i="26"/>
  <c r="K63" i="26"/>
  <c r="J63" i="26"/>
  <c r="O74" i="26"/>
  <c r="Q74" i="26" s="1"/>
  <c r="AN63" i="26"/>
  <c r="T50" i="26"/>
  <c r="P63" i="26"/>
  <c r="AI63" i="26"/>
  <c r="V50" i="26"/>
  <c r="AE50" i="26"/>
  <c r="AO50" i="26"/>
  <c r="AF50" i="26"/>
  <c r="AP50" i="26"/>
  <c r="AB63" i="26"/>
  <c r="AL63" i="26"/>
  <c r="Y50" i="26"/>
  <c r="O50" i="26"/>
  <c r="AD63" i="26"/>
  <c r="K50" i="26"/>
  <c r="R63" i="26"/>
  <c r="F63" i="26"/>
  <c r="M50" i="26"/>
  <c r="Q50" i="26"/>
  <c r="H50" i="26"/>
  <c r="U63" i="26"/>
  <c r="U50" i="26"/>
  <c r="H63" i="26"/>
  <c r="AD50" i="26"/>
  <c r="AE63" i="26"/>
  <c r="AO63" i="26"/>
  <c r="AF63" i="26"/>
  <c r="AP63" i="26"/>
  <c r="AG50" i="26"/>
  <c r="AQ50" i="26"/>
  <c r="J50" i="26"/>
  <c r="S26" i="11"/>
  <c r="P26" i="11"/>
  <c r="L26" i="11"/>
  <c r="L19" i="24" l="1"/>
  <c r="L75" i="29"/>
  <c r="E67" i="26"/>
  <c r="O67" i="26"/>
  <c r="V54" i="26"/>
  <c r="E54" i="26"/>
  <c r="AA54" i="26"/>
  <c r="P67" i="26"/>
  <c r="AD54" i="26"/>
  <c r="AK63" i="26"/>
  <c r="K54" i="26"/>
  <c r="AI50" i="26"/>
  <c r="AL50" i="26"/>
  <c r="U65" i="26"/>
  <c r="G79" i="29"/>
  <c r="G67" i="26"/>
  <c r="U67" i="26"/>
  <c r="AN67" i="26"/>
  <c r="L67" i="26"/>
  <c r="AP67" i="26"/>
  <c r="AG67" i="26"/>
  <c r="R54" i="26"/>
  <c r="Y54" i="26"/>
  <c r="F54" i="26"/>
  <c r="AB54" i="26"/>
  <c r="AB67" i="26"/>
  <c r="M46" i="26"/>
  <c r="Q59" i="26"/>
  <c r="K86" i="29"/>
  <c r="K99" i="29" s="1"/>
  <c r="L46" i="26"/>
  <c r="AD46" i="26"/>
  <c r="K85" i="29"/>
  <c r="L88" i="29"/>
  <c r="L100" i="29" s="1"/>
  <c r="M67" i="26"/>
  <c r="K67" i="26"/>
  <c r="V67" i="26"/>
  <c r="AL67" i="26"/>
  <c r="W67" i="26"/>
  <c r="T54" i="26"/>
  <c r="AQ54" i="26"/>
  <c r="Y67" i="26"/>
  <c r="J54" i="26"/>
  <c r="AK54" i="26"/>
  <c r="H54" i="26"/>
  <c r="AG54" i="26"/>
  <c r="AI54" i="26"/>
  <c r="AL54" i="26"/>
  <c r="U54" i="26"/>
  <c r="H67" i="26"/>
  <c r="J67" i="26"/>
  <c r="AK67" i="26"/>
  <c r="AJ54" i="26"/>
  <c r="AF67" i="26"/>
  <c r="Z54" i="26"/>
  <c r="AO67" i="26"/>
  <c r="AA67" i="26"/>
  <c r="G54" i="26"/>
  <c r="L54" i="26"/>
  <c r="AO54" i="26"/>
  <c r="Q54" i="26"/>
  <c r="F67" i="26"/>
  <c r="AE54" i="26"/>
  <c r="Q67" i="26"/>
  <c r="AE67" i="26"/>
  <c r="R67" i="26"/>
  <c r="W54" i="26"/>
  <c r="AJ67" i="26"/>
  <c r="T67" i="26"/>
  <c r="AF54" i="26"/>
  <c r="AQ67" i="26"/>
  <c r="AI67" i="26"/>
  <c r="M54" i="26"/>
  <c r="AN54" i="26"/>
  <c r="Z67" i="26"/>
  <c r="O54" i="26"/>
  <c r="P54" i="26"/>
  <c r="AP54" i="26"/>
  <c r="S78" i="29"/>
  <c r="S237" i="11" a="1"/>
  <c r="S237" i="11" s="1"/>
  <c r="S223" i="11" a="1"/>
  <c r="S223" i="11" s="1"/>
  <c r="S219" i="11" a="1"/>
  <c r="S219" i="11" s="1"/>
  <c r="S215" i="11" a="1"/>
  <c r="S215" i="11" s="1"/>
  <c r="S211" i="11" a="1"/>
  <c r="S211" i="11" s="1"/>
  <c r="S207" i="11" a="1"/>
  <c r="S207" i="11" s="1"/>
  <c r="S201" i="11" a="1"/>
  <c r="S201" i="11" s="1"/>
  <c r="S197" i="11" a="1"/>
  <c r="S197" i="11" s="1"/>
  <c r="S193" i="11" a="1"/>
  <c r="S193" i="11" s="1"/>
  <c r="S189" i="11" a="1"/>
  <c r="S189" i="11" s="1"/>
  <c r="S185" i="11" a="1"/>
  <c r="S185" i="11" s="1"/>
  <c r="S183" i="11" a="1"/>
  <c r="S183" i="11" s="1"/>
  <c r="S166" i="11" a="1"/>
  <c r="S166" i="11" s="1"/>
  <c r="S159" i="11" a="1"/>
  <c r="S159" i="11" s="1"/>
  <c r="S155" i="11" a="1"/>
  <c r="S155" i="11" s="1"/>
  <c r="S152" i="11" a="1"/>
  <c r="S152" i="11" s="1"/>
  <c r="S146" i="11" a="1"/>
  <c r="S146" i="11" s="1"/>
  <c r="S139" i="11" a="1"/>
  <c r="S139" i="11" s="1"/>
  <c r="S130" i="11" a="1"/>
  <c r="S130" i="11" s="1"/>
  <c r="S126" i="11" a="1"/>
  <c r="S126" i="11" s="1"/>
  <c r="S122" i="11" a="1"/>
  <c r="S122" i="11" s="1"/>
  <c r="S103" i="11" a="1"/>
  <c r="S103" i="11" s="1"/>
  <c r="S98" i="11" a="1"/>
  <c r="S98" i="11" s="1"/>
  <c r="S95" i="11" a="1"/>
  <c r="S95" i="11" s="1"/>
  <c r="S91" i="11" a="1"/>
  <c r="S91" i="11" s="1"/>
  <c r="P32" i="11" a="1"/>
  <c r="P32" i="11" s="1"/>
  <c r="P27" i="11" a="1"/>
  <c r="P27" i="11" s="1"/>
  <c r="P24" i="11" a="1"/>
  <c r="P24" i="11" s="1"/>
  <c r="P22" i="11" a="1"/>
  <c r="P22" i="11" s="1"/>
  <c r="P20" i="11" a="1"/>
  <c r="P20" i="11" s="1"/>
  <c r="P237" i="11" a="1"/>
  <c r="P237" i="11" s="1"/>
  <c r="P223" i="11" a="1"/>
  <c r="P223" i="11" s="1"/>
  <c r="P219" i="11" a="1"/>
  <c r="P219" i="11" s="1"/>
  <c r="P215" i="11" a="1"/>
  <c r="P215" i="11" s="1"/>
  <c r="P211" i="11" a="1"/>
  <c r="P211" i="11" s="1"/>
  <c r="P207" i="11" a="1"/>
  <c r="P207" i="11" s="1"/>
  <c r="P201" i="11" a="1"/>
  <c r="P201" i="11" s="1"/>
  <c r="P197" i="11" a="1"/>
  <c r="P197" i="11" s="1"/>
  <c r="P193" i="11" a="1"/>
  <c r="P193" i="11" s="1"/>
  <c r="P189" i="11" a="1"/>
  <c r="P189" i="11" s="1"/>
  <c r="P185" i="11" a="1"/>
  <c r="P185" i="11" s="1"/>
  <c r="P183" i="11" a="1"/>
  <c r="P183" i="11" s="1"/>
  <c r="P166" i="11" a="1"/>
  <c r="P166" i="11" s="1"/>
  <c r="P159" i="11" a="1"/>
  <c r="P159" i="11" s="1"/>
  <c r="P155" i="11" a="1"/>
  <c r="P155" i="11" s="1"/>
  <c r="P152" i="11" a="1"/>
  <c r="P152" i="11" s="1"/>
  <c r="P146" i="11" a="1"/>
  <c r="P146" i="11" s="1"/>
  <c r="P139" i="11" a="1"/>
  <c r="P139" i="11" s="1"/>
  <c r="P130" i="11" a="1"/>
  <c r="P130" i="11" s="1"/>
  <c r="P126" i="11" a="1"/>
  <c r="P126" i="11" s="1"/>
  <c r="P122" i="11" a="1"/>
  <c r="P122" i="11" s="1"/>
  <c r="P103" i="11" a="1"/>
  <c r="P103" i="11" s="1"/>
  <c r="P98" i="11" a="1"/>
  <c r="P98" i="11" s="1"/>
  <c r="P95" i="11" a="1"/>
  <c r="P95" i="11" s="1"/>
  <c r="P91" i="11" a="1"/>
  <c r="P91" i="11" s="1"/>
  <c r="S34" i="11" a="1"/>
  <c r="S34" i="11" s="1"/>
  <c r="S238" i="11" a="1"/>
  <c r="S238" i="11" s="1"/>
  <c r="S231" i="11" a="1"/>
  <c r="S231" i="11" s="1"/>
  <c r="S224" i="11" a="1"/>
  <c r="S224" i="11" s="1"/>
  <c r="S220" i="11" a="1"/>
  <c r="S220" i="11" s="1"/>
  <c r="S216" i="11" a="1"/>
  <c r="S216" i="11" s="1"/>
  <c r="S212" i="11" a="1"/>
  <c r="S212" i="11" s="1"/>
  <c r="S208" i="11" a="1"/>
  <c r="S208" i="11" s="1"/>
  <c r="S205" i="11" a="1"/>
  <c r="S205" i="11" s="1"/>
  <c r="S202" i="11" a="1"/>
  <c r="S202" i="11" s="1"/>
  <c r="S198" i="11" a="1"/>
  <c r="S198" i="11" s="1"/>
  <c r="S194" i="11" a="1"/>
  <c r="S194" i="11" s="1"/>
  <c r="S190" i="11" a="1"/>
  <c r="S190" i="11" s="1"/>
  <c r="S186" i="11" a="1"/>
  <c r="S186" i="11" s="1"/>
  <c r="S184" i="11" a="1"/>
  <c r="S184" i="11" s="1"/>
  <c r="S177" i="11" a="1"/>
  <c r="S177" i="11" s="1"/>
  <c r="S167" i="11" a="1"/>
  <c r="S167" i="11" s="1"/>
  <c r="S160" i="11" a="1"/>
  <c r="S160" i="11" s="1"/>
  <c r="S156" i="11" a="1"/>
  <c r="S156" i="11" s="1"/>
  <c r="S153" i="11" a="1"/>
  <c r="S153" i="11" s="1"/>
  <c r="S147" i="11" a="1"/>
  <c r="S147" i="11" s="1"/>
  <c r="S140" i="11" a="1"/>
  <c r="S140" i="11" s="1"/>
  <c r="S136" i="11" a="1"/>
  <c r="S136" i="11" s="1"/>
  <c r="S127" i="11" a="1"/>
  <c r="S127" i="11" s="1"/>
  <c r="S123" i="11" a="1"/>
  <c r="S123" i="11" s="1"/>
  <c r="S116" i="11" a="1"/>
  <c r="S116" i="11" s="1"/>
  <c r="S104" i="11" a="1"/>
  <c r="S104" i="11" s="1"/>
  <c r="S100" i="11" a="1"/>
  <c r="S100" i="11" s="1"/>
  <c r="S92" i="11" a="1"/>
  <c r="S92" i="11" s="1"/>
  <c r="S73" i="11" a="1"/>
  <c r="S73" i="11" s="1"/>
  <c r="P34" i="11" a="1"/>
  <c r="P34" i="11" s="1"/>
  <c r="P238" i="11" a="1"/>
  <c r="P238" i="11" s="1"/>
  <c r="P231" i="11" a="1"/>
  <c r="P231" i="11" s="1"/>
  <c r="P224" i="11" a="1"/>
  <c r="P224" i="11" s="1"/>
  <c r="P220" i="11" a="1"/>
  <c r="P220" i="11" s="1"/>
  <c r="P216" i="11" a="1"/>
  <c r="P216" i="11" s="1"/>
  <c r="P212" i="11" a="1"/>
  <c r="P212" i="11" s="1"/>
  <c r="P208" i="11" a="1"/>
  <c r="P208" i="11" s="1"/>
  <c r="P205" i="11" a="1"/>
  <c r="P205" i="11" s="1"/>
  <c r="P202" i="11" a="1"/>
  <c r="P202" i="11" s="1"/>
  <c r="P198" i="11" a="1"/>
  <c r="P198" i="11" s="1"/>
  <c r="P194" i="11" a="1"/>
  <c r="P194" i="11" s="1"/>
  <c r="P190" i="11" a="1"/>
  <c r="P190" i="11" s="1"/>
  <c r="P186" i="11" a="1"/>
  <c r="P186" i="11" s="1"/>
  <c r="P184" i="11" a="1"/>
  <c r="P184" i="11" s="1"/>
  <c r="P177" i="11" a="1"/>
  <c r="P177" i="11" s="1"/>
  <c r="P167" i="11" a="1"/>
  <c r="P167" i="11" s="1"/>
  <c r="P160" i="11" a="1"/>
  <c r="P160" i="11" s="1"/>
  <c r="P156" i="11" a="1"/>
  <c r="P156" i="11" s="1"/>
  <c r="P153" i="11" a="1"/>
  <c r="P153" i="11" s="1"/>
  <c r="P147" i="11" a="1"/>
  <c r="P147" i="11" s="1"/>
  <c r="P140" i="11" a="1"/>
  <c r="P140" i="11" s="1"/>
  <c r="P136" i="11" a="1"/>
  <c r="P136" i="11" s="1"/>
  <c r="P127" i="11" a="1"/>
  <c r="P127" i="11" s="1"/>
  <c r="P123" i="11" a="1"/>
  <c r="P123" i="11" s="1"/>
  <c r="P116" i="11" a="1"/>
  <c r="P116" i="11" s="1"/>
  <c r="P104" i="11" a="1"/>
  <c r="P104" i="11" s="1"/>
  <c r="P100" i="11" a="1"/>
  <c r="P100" i="11" s="1"/>
  <c r="P92" i="11" a="1"/>
  <c r="P92" i="11" s="1"/>
  <c r="P73" i="11" a="1"/>
  <c r="P73" i="11" s="1"/>
  <c r="S28" i="11" a="1"/>
  <c r="S28" i="11" s="1"/>
  <c r="S25" i="11" a="1"/>
  <c r="S25" i="11" s="1"/>
  <c r="S23" i="11" a="1"/>
  <c r="S23" i="11" s="1"/>
  <c r="S21" i="11" a="1"/>
  <c r="S21" i="11" s="1"/>
  <c r="S239" i="11" a="1"/>
  <c r="S239" i="11" s="1"/>
  <c r="S235" i="11" a="1"/>
  <c r="S235" i="11" s="1"/>
  <c r="S221" i="11" a="1"/>
  <c r="S221" i="11" s="1"/>
  <c r="S217" i="11" a="1"/>
  <c r="S217" i="11" s="1"/>
  <c r="S213" i="11" a="1"/>
  <c r="S213" i="11" s="1"/>
  <c r="S209" i="11" a="1"/>
  <c r="S209" i="11" s="1"/>
  <c r="S203" i="11" a="1"/>
  <c r="S203" i="11" s="1"/>
  <c r="S199" i="11" a="1"/>
  <c r="S199" i="11" s="1"/>
  <c r="S195" i="11" a="1"/>
  <c r="S195" i="11" s="1"/>
  <c r="S191" i="11" a="1"/>
  <c r="S191" i="11" s="1"/>
  <c r="S187" i="11" a="1"/>
  <c r="S187" i="11" s="1"/>
  <c r="S181" i="11" a="1"/>
  <c r="S181" i="11" s="1"/>
  <c r="S168" i="11" a="1"/>
  <c r="S168" i="11" s="1"/>
  <c r="S157" i="11" a="1"/>
  <c r="S157" i="11" s="1"/>
  <c r="S154" i="11" a="1"/>
  <c r="S154" i="11" s="1"/>
  <c r="S150" i="11" a="1"/>
  <c r="S150" i="11" s="1"/>
  <c r="S148" i="11" a="1"/>
  <c r="S148" i="11" s="1"/>
  <c r="S144" i="11" a="1"/>
  <c r="S144" i="11" s="1"/>
  <c r="S137" i="11" a="1"/>
  <c r="S137" i="11" s="1"/>
  <c r="S128" i="11" a="1"/>
  <c r="S128" i="11" s="1"/>
  <c r="S124" i="11" a="1"/>
  <c r="S124" i="11" s="1"/>
  <c r="S120" i="11" a="1"/>
  <c r="S120" i="11" s="1"/>
  <c r="S105" i="11" a="1"/>
  <c r="S105" i="11" s="1"/>
  <c r="S101" i="11" a="1"/>
  <c r="S101" i="11" s="1"/>
  <c r="S96" i="11" a="1"/>
  <c r="S96" i="11" s="1"/>
  <c r="S93" i="11" a="1"/>
  <c r="S93" i="11" s="1"/>
  <c r="S74" i="11" a="1"/>
  <c r="S74" i="11" s="1"/>
  <c r="P28" i="11" a="1"/>
  <c r="P28" i="11" s="1"/>
  <c r="P25" i="11" a="1"/>
  <c r="P25" i="11" s="1"/>
  <c r="P23" i="11" a="1"/>
  <c r="P23" i="11" s="1"/>
  <c r="P21" i="11" a="1"/>
  <c r="P21" i="11" s="1"/>
  <c r="P239" i="11" a="1"/>
  <c r="P239" i="11" s="1"/>
  <c r="P235" i="11" a="1"/>
  <c r="P235" i="11" s="1"/>
  <c r="P221" i="11" a="1"/>
  <c r="P221" i="11" s="1"/>
  <c r="P217" i="11" a="1"/>
  <c r="P217" i="11" s="1"/>
  <c r="P213" i="11" a="1"/>
  <c r="P213" i="11" s="1"/>
  <c r="P209" i="11" a="1"/>
  <c r="P209" i="11" s="1"/>
  <c r="P203" i="11" a="1"/>
  <c r="P203" i="11" s="1"/>
  <c r="P199" i="11" a="1"/>
  <c r="P199" i="11" s="1"/>
  <c r="P195" i="11" a="1"/>
  <c r="P195" i="11" s="1"/>
  <c r="P191" i="11" a="1"/>
  <c r="P191" i="11" s="1"/>
  <c r="P187" i="11" a="1"/>
  <c r="P187" i="11" s="1"/>
  <c r="P181" i="11" a="1"/>
  <c r="P181" i="11" s="1"/>
  <c r="P168" i="11" a="1"/>
  <c r="P168" i="11" s="1"/>
  <c r="P157" i="11" a="1"/>
  <c r="P157" i="11" s="1"/>
  <c r="P154" i="11" a="1"/>
  <c r="P154" i="11" s="1"/>
  <c r="P150" i="11" a="1"/>
  <c r="P150" i="11" s="1"/>
  <c r="P148" i="11" a="1"/>
  <c r="P148" i="11" s="1"/>
  <c r="P144" i="11" a="1"/>
  <c r="P144" i="11" s="1"/>
  <c r="P137" i="11" a="1"/>
  <c r="P137" i="11" s="1"/>
  <c r="P128" i="11" a="1"/>
  <c r="P128" i="11" s="1"/>
  <c r="P124" i="11" a="1"/>
  <c r="P124" i="11" s="1"/>
  <c r="P120" i="11" a="1"/>
  <c r="P120" i="11" s="1"/>
  <c r="P105" i="11" a="1"/>
  <c r="P105" i="11" s="1"/>
  <c r="P101" i="11" a="1"/>
  <c r="P101" i="11" s="1"/>
  <c r="P96" i="11" a="1"/>
  <c r="P96" i="11" s="1"/>
  <c r="P93" i="11" a="1"/>
  <c r="P93" i="11" s="1"/>
  <c r="P74" i="11" a="1"/>
  <c r="P74" i="11" s="1"/>
  <c r="S33" i="11" a="1"/>
  <c r="S33" i="11" s="1"/>
  <c r="S16" i="11" a="1"/>
  <c r="S16" i="11" s="1"/>
  <c r="S240" i="11" a="1"/>
  <c r="S240" i="11" s="1"/>
  <c r="S236" i="11" a="1"/>
  <c r="S236" i="11" s="1"/>
  <c r="S222" i="11" a="1"/>
  <c r="S222" i="11" s="1"/>
  <c r="S218" i="11" a="1"/>
  <c r="S218" i="11" s="1"/>
  <c r="S214" i="11" a="1"/>
  <c r="S214" i="11" s="1"/>
  <c r="S210" i="11" a="1"/>
  <c r="S210" i="11" s="1"/>
  <c r="S206" i="11" a="1"/>
  <c r="S206" i="11" s="1"/>
  <c r="S204" i="11" a="1"/>
  <c r="S204" i="11" s="1"/>
  <c r="S200" i="11" a="1"/>
  <c r="S200" i="11" s="1"/>
  <c r="S196" i="11" a="1"/>
  <c r="S196" i="11" s="1"/>
  <c r="S192" i="11" a="1"/>
  <c r="S192" i="11" s="1"/>
  <c r="S188" i="11" a="1"/>
  <c r="S188" i="11" s="1"/>
  <c r="S182" i="11" a="1"/>
  <c r="S182" i="11" s="1"/>
  <c r="S169" i="11" a="1"/>
  <c r="S169" i="11" s="1"/>
  <c r="S161" i="11" a="1"/>
  <c r="S161" i="11" s="1"/>
  <c r="S158" i="11" a="1"/>
  <c r="S158" i="11" s="1"/>
  <c r="S151" i="11" a="1"/>
  <c r="S151" i="11" s="1"/>
  <c r="S149" i="11" a="1"/>
  <c r="S149" i="11" s="1"/>
  <c r="S145" i="11" a="1"/>
  <c r="S145" i="11" s="1"/>
  <c r="S138" i="11" a="1"/>
  <c r="S138" i="11" s="1"/>
  <c r="S129" i="11" a="1"/>
  <c r="S129" i="11" s="1"/>
  <c r="S125" i="11" a="1"/>
  <c r="S125" i="11" s="1"/>
  <c r="S121" i="11" a="1"/>
  <c r="S121" i="11" s="1"/>
  <c r="S106" i="11" a="1"/>
  <c r="S106" i="11" s="1"/>
  <c r="S102" i="11" a="1"/>
  <c r="S102" i="11" s="1"/>
  <c r="S97" i="11" a="1"/>
  <c r="S97" i="11" s="1"/>
  <c r="S94" i="11" a="1"/>
  <c r="S94" i="11" s="1"/>
  <c r="S75" i="11" a="1"/>
  <c r="S75" i="11" s="1"/>
  <c r="P16" i="11" a="1"/>
  <c r="P16" i="11" s="1"/>
  <c r="P240" i="11" a="1"/>
  <c r="P240" i="11" s="1"/>
  <c r="P236" i="11" a="1"/>
  <c r="P236" i="11" s="1"/>
  <c r="P222" i="11" a="1"/>
  <c r="P222" i="11" s="1"/>
  <c r="P218" i="11" a="1"/>
  <c r="P218" i="11" s="1"/>
  <c r="P214" i="11" a="1"/>
  <c r="P214" i="11" s="1"/>
  <c r="P210" i="11" a="1"/>
  <c r="P210" i="11" s="1"/>
  <c r="P206" i="11" a="1"/>
  <c r="P206" i="11" s="1"/>
  <c r="P204" i="11" a="1"/>
  <c r="P204" i="11" s="1"/>
  <c r="P200" i="11" a="1"/>
  <c r="P200" i="11" s="1"/>
  <c r="P196" i="11" a="1"/>
  <c r="P196" i="11" s="1"/>
  <c r="P192" i="11" a="1"/>
  <c r="P192" i="11" s="1"/>
  <c r="P188" i="11" a="1"/>
  <c r="P188" i="11" s="1"/>
  <c r="P182" i="11" a="1"/>
  <c r="P182" i="11" s="1"/>
  <c r="P169" i="11" a="1"/>
  <c r="P169" i="11" s="1"/>
  <c r="P161" i="11" a="1"/>
  <c r="P161" i="11" s="1"/>
  <c r="P158" i="11" a="1"/>
  <c r="P158" i="11" s="1"/>
  <c r="P151" i="11" a="1"/>
  <c r="P151" i="11" s="1"/>
  <c r="P149" i="11" a="1"/>
  <c r="P149" i="11" s="1"/>
  <c r="P145" i="11" a="1"/>
  <c r="P145" i="11" s="1"/>
  <c r="P138" i="11" a="1"/>
  <c r="P138" i="11" s="1"/>
  <c r="P129" i="11" a="1"/>
  <c r="P129" i="11" s="1"/>
  <c r="P125" i="11" a="1"/>
  <c r="P125" i="11" s="1"/>
  <c r="P121" i="11" a="1"/>
  <c r="P121" i="11" s="1"/>
  <c r="P106" i="11" a="1"/>
  <c r="P106" i="11" s="1"/>
  <c r="P102" i="11" a="1"/>
  <c r="P102" i="11" s="1"/>
  <c r="P97" i="11" a="1"/>
  <c r="P97" i="11" s="1"/>
  <c r="P94" i="11" a="1"/>
  <c r="P94" i="11" s="1"/>
  <c r="P75" i="11" a="1"/>
  <c r="P75" i="11" s="1"/>
  <c r="S32" i="11" a="1"/>
  <c r="S32" i="11" s="1"/>
  <c r="S27" i="11" a="1"/>
  <c r="S27" i="11" s="1"/>
  <c r="S24" i="11" a="1"/>
  <c r="S24" i="11" s="1"/>
  <c r="S22" i="11" a="1"/>
  <c r="S22" i="11" s="1"/>
  <c r="S20" i="11" a="1"/>
  <c r="S20" i="11" s="1"/>
  <c r="AF47" i="26"/>
  <c r="N80" i="26"/>
  <c r="A54" i="26" s="1"/>
  <c r="I20" i="24"/>
  <c r="L20" i="24" s="1"/>
  <c r="I24" i="24"/>
  <c r="L24" i="24" s="1"/>
  <c r="Y60" i="26"/>
  <c r="AI64" i="26"/>
  <c r="AI60" i="26"/>
  <c r="P47" i="26"/>
  <c r="L87" i="29"/>
  <c r="W76" i="29"/>
  <c r="H77" i="29" s="1"/>
  <c r="Y76" i="29"/>
  <c r="X76" i="29"/>
  <c r="H78" i="29" s="1"/>
  <c r="L73" i="29"/>
  <c r="V76" i="29"/>
  <c r="H76" i="29" s="1"/>
  <c r="H93" i="29" s="1"/>
  <c r="J88" i="29"/>
  <c r="J100" i="29" s="1"/>
  <c r="T76" i="29"/>
  <c r="H74" i="29" s="1"/>
  <c r="Z76" i="29"/>
  <c r="H80" i="29" s="1"/>
  <c r="H94" i="29" s="1"/>
  <c r="U76" i="29"/>
  <c r="W78" i="29"/>
  <c r="J77" i="29" s="1"/>
  <c r="Z78" i="29"/>
  <c r="J80" i="29" s="1"/>
  <c r="J94" i="29" s="1"/>
  <c r="V78" i="29"/>
  <c r="J76" i="29" s="1"/>
  <c r="J93" i="29" s="1"/>
  <c r="Y78" i="29"/>
  <c r="U78" i="29"/>
  <c r="J85" i="29" s="1"/>
  <c r="X78" i="29"/>
  <c r="J78" i="29" s="1"/>
  <c r="I18" i="24"/>
  <c r="L18" i="24" s="1"/>
  <c r="J22" i="24"/>
  <c r="L22" i="24" s="1"/>
  <c r="AI53" i="26"/>
  <c r="Z59" i="26"/>
  <c r="W59" i="26"/>
  <c r="U59" i="26"/>
  <c r="G59" i="26"/>
  <c r="AF59" i="26"/>
  <c r="K59" i="26"/>
  <c r="H46" i="26"/>
  <c r="AK59" i="26"/>
  <c r="J46" i="26"/>
  <c r="AD59" i="26"/>
  <c r="O46" i="26"/>
  <c r="AP46" i="26"/>
  <c r="AL49" i="26"/>
  <c r="P46" i="26"/>
  <c r="Q46" i="26"/>
  <c r="AQ46" i="26"/>
  <c r="V59" i="26"/>
  <c r="E59" i="26"/>
  <c r="AI59" i="26"/>
  <c r="AB53" i="26"/>
  <c r="AK46" i="26"/>
  <c r="Z46" i="26"/>
  <c r="W46" i="26"/>
  <c r="AO46" i="26"/>
  <c r="AA59" i="26"/>
  <c r="AI46" i="26"/>
  <c r="AB59" i="26"/>
  <c r="G88" i="29"/>
  <c r="G100" i="29" s="1"/>
  <c r="G86" i="29"/>
  <c r="G99" i="29" s="1"/>
  <c r="AL60" i="26"/>
  <c r="O51" i="26"/>
  <c r="AO64" i="26"/>
  <c r="Q47" i="26"/>
  <c r="AF60" i="26"/>
  <c r="Y47" i="26"/>
  <c r="J51" i="26"/>
  <c r="O60" i="26"/>
  <c r="G60" i="26"/>
  <c r="AQ47" i="26"/>
  <c r="AD47" i="26"/>
  <c r="P51" i="26"/>
  <c r="AP64" i="26"/>
  <c r="AA60" i="26"/>
  <c r="L64" i="26"/>
  <c r="M60" i="26"/>
  <c r="W60" i="26"/>
  <c r="Z47" i="26"/>
  <c r="T47" i="26"/>
  <c r="U47" i="26"/>
  <c r="R60" i="26"/>
  <c r="Y51" i="26"/>
  <c r="AQ51" i="26"/>
  <c r="AL47" i="26"/>
  <c r="U64" i="26"/>
  <c r="X73" i="29"/>
  <c r="E78" i="29" s="1"/>
  <c r="T73" i="29"/>
  <c r="E74" i="29" s="1"/>
  <c r="W73" i="29"/>
  <c r="E77" i="29" s="1"/>
  <c r="S73" i="29"/>
  <c r="E73" i="29" s="1"/>
  <c r="Z73" i="29"/>
  <c r="E80" i="29" s="1"/>
  <c r="E94" i="29" s="1"/>
  <c r="Y73" i="29"/>
  <c r="V73" i="29"/>
  <c r="E76" i="29" s="1"/>
  <c r="E93" i="29" s="1"/>
  <c r="U73" i="29"/>
  <c r="Y77" i="29"/>
  <c r="U77" i="29"/>
  <c r="X77" i="29"/>
  <c r="I78" i="29" s="1"/>
  <c r="T77" i="29"/>
  <c r="W77" i="29"/>
  <c r="I77" i="29" s="1"/>
  <c r="S77" i="29"/>
  <c r="I73" i="29" s="1"/>
  <c r="V77" i="29"/>
  <c r="I76" i="29" s="1"/>
  <c r="I93" i="29" s="1"/>
  <c r="Z77" i="29"/>
  <c r="I80" i="29" s="1"/>
  <c r="I94" i="29" s="1"/>
  <c r="AO61" i="26"/>
  <c r="F59" i="26"/>
  <c r="AG46" i="26"/>
  <c r="AE46" i="26"/>
  <c r="F46" i="26"/>
  <c r="AL46" i="26"/>
  <c r="P59" i="26"/>
  <c r="R59" i="26"/>
  <c r="M59" i="26"/>
  <c r="J59" i="26"/>
  <c r="AJ59" i="26"/>
  <c r="AQ59" i="26"/>
  <c r="AO59" i="26"/>
  <c r="Y59" i="26"/>
  <c r="AN59" i="26"/>
  <c r="AJ46" i="26"/>
  <c r="U46" i="26"/>
  <c r="AL59" i="26"/>
  <c r="R46" i="26"/>
  <c r="R65" i="26"/>
  <c r="U62" i="26"/>
  <c r="AG59" i="26"/>
  <c r="AE59" i="26"/>
  <c r="K46" i="26"/>
  <c r="T59" i="26"/>
  <c r="AP59" i="26"/>
  <c r="Y46" i="26"/>
  <c r="T46" i="26"/>
  <c r="L59" i="26"/>
  <c r="AB46" i="26"/>
  <c r="AN46" i="26"/>
  <c r="AA46" i="26"/>
  <c r="O59" i="26"/>
  <c r="H59" i="26"/>
  <c r="O52" i="26"/>
  <c r="E48" i="26"/>
  <c r="G46" i="26"/>
  <c r="AF46" i="26"/>
  <c r="Y66" i="26"/>
  <c r="AJ62" i="26"/>
  <c r="L48" i="26"/>
  <c r="AJ65" i="26"/>
  <c r="AL61" i="26"/>
  <c r="F65" i="26"/>
  <c r="W65" i="26"/>
  <c r="M53" i="26"/>
  <c r="P53" i="26"/>
  <c r="V66" i="26"/>
  <c r="AK66" i="26"/>
  <c r="Y62" i="26"/>
  <c r="Z62" i="26"/>
  <c r="AB49" i="26"/>
  <c r="F62" i="26"/>
  <c r="E49" i="26"/>
  <c r="AI49" i="26"/>
  <c r="O49" i="26"/>
  <c r="U66" i="26"/>
  <c r="AJ66" i="26"/>
  <c r="AL53" i="26"/>
  <c r="H62" i="26"/>
  <c r="AA62" i="26"/>
  <c r="E53" i="26"/>
  <c r="R62" i="26"/>
  <c r="K53" i="26"/>
  <c r="H66" i="26"/>
  <c r="AA66" i="26"/>
  <c r="P49" i="26"/>
  <c r="V62" i="26"/>
  <c r="AK62" i="26"/>
  <c r="AI47" i="26"/>
  <c r="AP47" i="26"/>
  <c r="E47" i="26"/>
  <c r="AO60" i="26"/>
  <c r="G47" i="26"/>
  <c r="AA47" i="26"/>
  <c r="O47" i="26"/>
  <c r="AN51" i="26"/>
  <c r="J66" i="26"/>
  <c r="E51" i="26"/>
  <c r="AI51" i="26"/>
  <c r="AA51" i="26"/>
  <c r="AQ64" i="26"/>
  <c r="Z60" i="26"/>
  <c r="L49" i="26"/>
  <c r="L66" i="26"/>
  <c r="T66" i="26"/>
  <c r="M66" i="26"/>
  <c r="Z53" i="26"/>
  <c r="AA53" i="26"/>
  <c r="W66" i="26"/>
  <c r="AQ66" i="26"/>
  <c r="U49" i="26"/>
  <c r="V49" i="26"/>
  <c r="AJ49" i="26"/>
  <c r="AK49" i="26"/>
  <c r="AG62" i="26"/>
  <c r="F49" i="26"/>
  <c r="N75" i="26"/>
  <c r="N78" i="26"/>
  <c r="Q78" i="26" s="1"/>
  <c r="M47" i="26"/>
  <c r="AO47" i="26"/>
  <c r="H47" i="26"/>
  <c r="H60" i="26"/>
  <c r="AP60" i="26"/>
  <c r="V47" i="26"/>
  <c r="AQ60" i="26"/>
  <c r="J47" i="26"/>
  <c r="O64" i="26"/>
  <c r="Z51" i="26"/>
  <c r="W64" i="26"/>
  <c r="AD60" i="26"/>
  <c r="AB47" i="26"/>
  <c r="Y53" i="26"/>
  <c r="G66" i="26"/>
  <c r="L53" i="26"/>
  <c r="H53" i="26"/>
  <c r="O53" i="26"/>
  <c r="F66" i="26"/>
  <c r="U53" i="26"/>
  <c r="V53" i="26"/>
  <c r="AJ53" i="26"/>
  <c r="AK53" i="26"/>
  <c r="AG66" i="26"/>
  <c r="T62" i="26"/>
  <c r="AN49" i="26"/>
  <c r="AN62" i="26"/>
  <c r="AA49" i="26"/>
  <c r="W62" i="26"/>
  <c r="AQ62" i="26"/>
  <c r="J62" i="26"/>
  <c r="N77" i="26"/>
  <c r="Q77" i="26" s="1"/>
  <c r="N72" i="26"/>
  <c r="O72" i="26"/>
  <c r="AL48" i="26"/>
  <c r="AB48" i="26"/>
  <c r="V74" i="26" s="1"/>
  <c r="F76" i="26" s="1"/>
  <c r="F93" i="26" s="1"/>
  <c r="AP48" i="26"/>
  <c r="AF48" i="26"/>
  <c r="AO48" i="26"/>
  <c r="AE48" i="26"/>
  <c r="V48" i="26"/>
  <c r="AN61" i="26"/>
  <c r="P61" i="26"/>
  <c r="T48" i="26"/>
  <c r="E61" i="26"/>
  <c r="Q48" i="26"/>
  <c r="K48" i="26"/>
  <c r="L61" i="26"/>
  <c r="G61" i="26"/>
  <c r="M48" i="26"/>
  <c r="O48" i="26"/>
  <c r="AQ61" i="26"/>
  <c r="AG61" i="26"/>
  <c r="W61" i="26"/>
  <c r="AK61" i="26"/>
  <c r="AA61" i="26"/>
  <c r="Y74" i="26" s="1"/>
  <c r="AJ61" i="26"/>
  <c r="Z61" i="26"/>
  <c r="X74" i="26" s="1"/>
  <c r="F78" i="26" s="1"/>
  <c r="Q61" i="26"/>
  <c r="AD61" i="26"/>
  <c r="AN48" i="26"/>
  <c r="O61" i="26"/>
  <c r="F48" i="26"/>
  <c r="J61" i="26"/>
  <c r="AI61" i="26"/>
  <c r="R61" i="26"/>
  <c r="H48" i="26"/>
  <c r="V61" i="26"/>
  <c r="Y61" i="26"/>
  <c r="W74" i="26" s="1"/>
  <c r="F77" i="26" s="1"/>
  <c r="AQ48" i="26"/>
  <c r="AG48" i="26"/>
  <c r="W48" i="26"/>
  <c r="AK48" i="26"/>
  <c r="AA48" i="26"/>
  <c r="AJ48" i="26"/>
  <c r="AI48" i="26"/>
  <c r="R48" i="26"/>
  <c r="T61" i="26"/>
  <c r="AD48" i="26"/>
  <c r="P48" i="26"/>
  <c r="G52" i="26"/>
  <c r="AQ52" i="26"/>
  <c r="AG52" i="26"/>
  <c r="AP65" i="26"/>
  <c r="AF65" i="26"/>
  <c r="AO65" i="26"/>
  <c r="AE65" i="26"/>
  <c r="AI52" i="26"/>
  <c r="Q65" i="26"/>
  <c r="AN65" i="26"/>
  <c r="P65" i="26"/>
  <c r="O65" i="26"/>
  <c r="J52" i="26"/>
  <c r="Y65" i="26"/>
  <c r="K65" i="26"/>
  <c r="V65" i="26"/>
  <c r="H52" i="26"/>
  <c r="E52" i="26"/>
  <c r="W52" i="26"/>
  <c r="AL65" i="26"/>
  <c r="AB65" i="26"/>
  <c r="AP52" i="26"/>
  <c r="AF52" i="26"/>
  <c r="AO52" i="26"/>
  <c r="T78" i="26" s="1"/>
  <c r="J74" i="26" s="1"/>
  <c r="AE52" i="26"/>
  <c r="Y52" i="26"/>
  <c r="R52" i="26"/>
  <c r="AD65" i="26"/>
  <c r="AN52" i="26"/>
  <c r="P52" i="26"/>
  <c r="Q52" i="26"/>
  <c r="K52" i="26"/>
  <c r="AI65" i="26"/>
  <c r="L52" i="26"/>
  <c r="M52" i="26"/>
  <c r="AL52" i="26"/>
  <c r="AB52" i="26"/>
  <c r="AK65" i="26"/>
  <c r="I21" i="24"/>
  <c r="J21" i="24"/>
  <c r="I25" i="24"/>
  <c r="J25" i="24"/>
  <c r="L65" i="26"/>
  <c r="K61" i="26"/>
  <c r="Y48" i="26"/>
  <c r="S74" i="26" s="1"/>
  <c r="F73" i="26" s="1"/>
  <c r="J48" i="26"/>
  <c r="T52" i="26"/>
  <c r="M65" i="26"/>
  <c r="Z52" i="26"/>
  <c r="AA52" i="26"/>
  <c r="AG65" i="26"/>
  <c r="H61" i="26"/>
  <c r="AF61" i="26"/>
  <c r="I17" i="24"/>
  <c r="L17" i="24" s="1"/>
  <c r="M61" i="26"/>
  <c r="J65" i="26"/>
  <c r="AD52" i="26"/>
  <c r="H65" i="26"/>
  <c r="Z65" i="26"/>
  <c r="AA65" i="26"/>
  <c r="AQ65" i="26"/>
  <c r="U61" i="26"/>
  <c r="AP61" i="26"/>
  <c r="E65" i="26"/>
  <c r="F61" i="26"/>
  <c r="G48" i="26"/>
  <c r="G65" i="26"/>
  <c r="F52" i="26"/>
  <c r="U52" i="26"/>
  <c r="V52" i="26"/>
  <c r="AJ52" i="26"/>
  <c r="AK52" i="26"/>
  <c r="Z48" i="26"/>
  <c r="T74" i="26" s="1"/>
  <c r="F74" i="26" s="1"/>
  <c r="F86" i="26" s="1"/>
  <c r="AE61" i="26"/>
  <c r="AB61" i="26"/>
  <c r="M62" i="26"/>
  <c r="M49" i="26"/>
  <c r="Q53" i="26"/>
  <c r="L62" i="26"/>
  <c r="E66" i="26"/>
  <c r="G49" i="26"/>
  <c r="O66" i="26"/>
  <c r="AI66" i="26"/>
  <c r="AD53" i="26"/>
  <c r="R53" i="26"/>
  <c r="AD66" i="26"/>
  <c r="AE53" i="26"/>
  <c r="AO53" i="26"/>
  <c r="AF53" i="26"/>
  <c r="AP53" i="26"/>
  <c r="AB66" i="26"/>
  <c r="AL66" i="26"/>
  <c r="O62" i="26"/>
  <c r="AI62" i="26"/>
  <c r="Y49" i="26"/>
  <c r="R49" i="26"/>
  <c r="Z49" i="26"/>
  <c r="AE49" i="26"/>
  <c r="AO49" i="26"/>
  <c r="AF49" i="26"/>
  <c r="AP49" i="26"/>
  <c r="AB62" i="26"/>
  <c r="AL62" i="26"/>
  <c r="J49" i="26"/>
  <c r="E62" i="26"/>
  <c r="R66" i="26"/>
  <c r="Q49" i="26"/>
  <c r="H49" i="26"/>
  <c r="G62" i="26"/>
  <c r="K62" i="26"/>
  <c r="K49" i="26"/>
  <c r="G53" i="26"/>
  <c r="T53" i="26"/>
  <c r="P66" i="26"/>
  <c r="AN53" i="26"/>
  <c r="Q66" i="26"/>
  <c r="AN66" i="26"/>
  <c r="AE66" i="26"/>
  <c r="AO66" i="26"/>
  <c r="AF66" i="26"/>
  <c r="AP66" i="26"/>
  <c r="AG53" i="26"/>
  <c r="AQ53" i="26"/>
  <c r="T49" i="26"/>
  <c r="P62" i="26"/>
  <c r="AD49" i="26"/>
  <c r="Q62" i="26"/>
  <c r="AD62" i="26"/>
  <c r="AE62" i="26"/>
  <c r="AO62" i="26"/>
  <c r="AF62" i="26"/>
  <c r="AP62" i="26"/>
  <c r="AG49" i="26"/>
  <c r="AQ49" i="26"/>
  <c r="K66" i="26"/>
  <c r="J53" i="26"/>
  <c r="F53" i="26"/>
  <c r="A48" i="26"/>
  <c r="N76" i="26"/>
  <c r="Q76" i="26" s="1"/>
  <c r="J23" i="24"/>
  <c r="L23" i="24" s="1"/>
  <c r="Q75" i="26"/>
  <c r="A49" i="26"/>
  <c r="A53" i="26"/>
  <c r="Q79" i="26"/>
  <c r="O73" i="26"/>
  <c r="T51" i="26"/>
  <c r="H64" i="26"/>
  <c r="Z64" i="26"/>
  <c r="AA64" i="26"/>
  <c r="AB51" i="26"/>
  <c r="K64" i="26"/>
  <c r="R64" i="26"/>
  <c r="V64" i="26"/>
  <c r="R51" i="26"/>
  <c r="AE51" i="26"/>
  <c r="AF51" i="26"/>
  <c r="AB64" i="26"/>
  <c r="M51" i="26"/>
  <c r="AD64" i="26"/>
  <c r="Q64" i="26"/>
  <c r="AE64" i="26"/>
  <c r="AF64" i="26"/>
  <c r="AG51" i="26"/>
  <c r="Q51" i="26"/>
  <c r="J64" i="26"/>
  <c r="AN64" i="26"/>
  <c r="V51" i="26"/>
  <c r="AJ51" i="26"/>
  <c r="AK51" i="26"/>
  <c r="AG64" i="26"/>
  <c r="W51" i="26"/>
  <c r="G64" i="26"/>
  <c r="H51" i="26"/>
  <c r="E64" i="26"/>
  <c r="N26" i="11"/>
  <c r="G51" i="26"/>
  <c r="P64" i="26"/>
  <c r="T64" i="26"/>
  <c r="AJ64" i="26"/>
  <c r="AK64" i="26"/>
  <c r="AL51" i="26"/>
  <c r="F51" i="26"/>
  <c r="M64" i="26"/>
  <c r="F64" i="26"/>
  <c r="U51" i="26"/>
  <c r="Y64" i="26"/>
  <c r="AO51" i="26"/>
  <c r="AP51" i="26"/>
  <c r="AL64" i="26"/>
  <c r="L51" i="26"/>
  <c r="K51" i="26"/>
  <c r="S81" i="11"/>
  <c r="Q80" i="26"/>
  <c r="AN60" i="26"/>
  <c r="AB60" i="26"/>
  <c r="P60" i="26"/>
  <c r="AG47" i="26"/>
  <c r="AJ47" i="26"/>
  <c r="K60" i="26"/>
  <c r="T60" i="26"/>
  <c r="E60" i="26"/>
  <c r="R47" i="26"/>
  <c r="F60" i="26"/>
  <c r="Q60" i="26"/>
  <c r="U60" i="26"/>
  <c r="AK47" i="26"/>
  <c r="J60" i="26"/>
  <c r="AJ60" i="26"/>
  <c r="L60" i="26"/>
  <c r="L47" i="26"/>
  <c r="W47" i="26"/>
  <c r="AE47" i="26"/>
  <c r="K47" i="26"/>
  <c r="AE60" i="26"/>
  <c r="V60" i="26"/>
  <c r="AG60" i="26"/>
  <c r="AN47" i="26"/>
  <c r="AK60" i="26"/>
  <c r="U74" i="26" l="1"/>
  <c r="F85" i="26" s="1"/>
  <c r="A46" i="26"/>
  <c r="Z74" i="26"/>
  <c r="F80" i="26" s="1"/>
  <c r="F94" i="26" s="1"/>
  <c r="Y77" i="26"/>
  <c r="Y78" i="26"/>
  <c r="J87" i="26" s="1"/>
  <c r="T77" i="26"/>
  <c r="I74" i="26" s="1"/>
  <c r="A51" i="26"/>
  <c r="U77" i="26"/>
  <c r="W77" i="26"/>
  <c r="I77" i="26" s="1"/>
  <c r="J75" i="29"/>
  <c r="L21" i="24"/>
  <c r="Z78" i="26"/>
  <c r="J80" i="26" s="1"/>
  <c r="J94" i="26" s="1"/>
  <c r="H87" i="29"/>
  <c r="H79" i="29"/>
  <c r="H75" i="29"/>
  <c r="H85" i="29"/>
  <c r="H88" i="29"/>
  <c r="H100" i="29" s="1"/>
  <c r="H86" i="29"/>
  <c r="H99" i="29" s="1"/>
  <c r="J79" i="29"/>
  <c r="J87" i="29"/>
  <c r="S78" i="26"/>
  <c r="V77" i="26"/>
  <c r="I76" i="26" s="1"/>
  <c r="I93" i="26" s="1"/>
  <c r="X79" i="26"/>
  <c r="K78" i="26" s="1"/>
  <c r="I74" i="29"/>
  <c r="J73" i="29"/>
  <c r="Z77" i="26"/>
  <c r="I80" i="26" s="1"/>
  <c r="I75" i="29"/>
  <c r="I85" i="29"/>
  <c r="E87" i="29"/>
  <c r="E79" i="29"/>
  <c r="E86" i="29"/>
  <c r="E99" i="29" s="1"/>
  <c r="E88" i="29"/>
  <c r="E100" i="29" s="1"/>
  <c r="E75" i="29"/>
  <c r="E85" i="29"/>
  <c r="I87" i="29"/>
  <c r="I79" i="29"/>
  <c r="X77" i="26"/>
  <c r="I78" i="26" s="1"/>
  <c r="A52" i="26"/>
  <c r="Z79" i="26"/>
  <c r="K80" i="26" s="1"/>
  <c r="L25" i="24"/>
  <c r="U78" i="26"/>
  <c r="J75" i="26" s="1"/>
  <c r="W78" i="26"/>
  <c r="J77" i="26" s="1"/>
  <c r="X78" i="26"/>
  <c r="J78" i="26" s="1"/>
  <c r="V78" i="26"/>
  <c r="J76" i="26" s="1"/>
  <c r="J93" i="26" s="1"/>
  <c r="S77" i="26"/>
  <c r="I73" i="26" s="1"/>
  <c r="Q72" i="26"/>
  <c r="T72" i="26" s="1"/>
  <c r="D74" i="26" s="1"/>
  <c r="D86" i="26" s="1"/>
  <c r="T75" i="26"/>
  <c r="G74" i="26" s="1"/>
  <c r="G88" i="26" s="1"/>
  <c r="F88" i="26"/>
  <c r="Z76" i="26"/>
  <c r="H80" i="26" s="1"/>
  <c r="T76" i="26"/>
  <c r="H74" i="26" s="1"/>
  <c r="H86" i="26" s="1"/>
  <c r="S76" i="26"/>
  <c r="H73" i="26" s="1"/>
  <c r="Y76" i="26"/>
  <c r="H79" i="26" s="1"/>
  <c r="A50" i="26"/>
  <c r="U76" i="26"/>
  <c r="H75" i="26" s="1"/>
  <c r="X76" i="26"/>
  <c r="H78" i="26" s="1"/>
  <c r="F75" i="26"/>
  <c r="Y75" i="26"/>
  <c r="G79" i="26" s="1"/>
  <c r="U75" i="26"/>
  <c r="G75" i="26" s="1"/>
  <c r="V75" i="26"/>
  <c r="G76" i="26" s="1"/>
  <c r="W79" i="26"/>
  <c r="K77" i="26" s="1"/>
  <c r="U79" i="26"/>
  <c r="K85" i="26" s="1"/>
  <c r="Y79" i="26"/>
  <c r="K87" i="26" s="1"/>
  <c r="T79" i="26"/>
  <c r="K74" i="26" s="1"/>
  <c r="K86" i="26" s="1"/>
  <c r="V79" i="26"/>
  <c r="K76" i="26" s="1"/>
  <c r="K93" i="26" s="1"/>
  <c r="S79" i="26"/>
  <c r="K73" i="26" s="1"/>
  <c r="W75" i="26"/>
  <c r="G77" i="26" s="1"/>
  <c r="S75" i="26"/>
  <c r="G73" i="26" s="1"/>
  <c r="Z75" i="26"/>
  <c r="G80" i="26" s="1"/>
  <c r="X75" i="26"/>
  <c r="G78" i="26" s="1"/>
  <c r="A47" i="26"/>
  <c r="Q73" i="26"/>
  <c r="V73" i="26" s="1"/>
  <c r="E76" i="26" s="1"/>
  <c r="W76" i="26"/>
  <c r="H77" i="26" s="1"/>
  <c r="V76" i="26"/>
  <c r="H76" i="26" s="1"/>
  <c r="F87" i="26"/>
  <c r="F79" i="26"/>
  <c r="J86" i="26"/>
  <c r="J88" i="26"/>
  <c r="U80" i="26"/>
  <c r="Y80" i="26"/>
  <c r="W80" i="26"/>
  <c r="L77" i="26" s="1"/>
  <c r="V80" i="26"/>
  <c r="L76" i="26" s="1"/>
  <c r="S80" i="26"/>
  <c r="X80" i="26"/>
  <c r="L78" i="26" s="1"/>
  <c r="T80" i="26"/>
  <c r="Z80" i="26"/>
  <c r="L80" i="26" s="1"/>
  <c r="I85" i="26"/>
  <c r="I75" i="26"/>
  <c r="I87" i="26"/>
  <c r="I79" i="26"/>
  <c r="F99" i="26"/>
  <c r="P86" i="11"/>
  <c r="J79" i="26" l="1"/>
  <c r="H85" i="26"/>
  <c r="J73" i="26"/>
  <c r="Z72" i="26"/>
  <c r="D80" i="26" s="1"/>
  <c r="D94" i="26" s="1"/>
  <c r="H87" i="26"/>
  <c r="I94" i="26"/>
  <c r="X72" i="26"/>
  <c r="D78" i="26" s="1"/>
  <c r="L81" i="11" s="1"/>
  <c r="U72" i="26"/>
  <c r="D85" i="26" s="1"/>
  <c r="Y72" i="26"/>
  <c r="D87" i="26" s="1"/>
  <c r="V72" i="26"/>
  <c r="D76" i="26" s="1"/>
  <c r="D93" i="26" s="1"/>
  <c r="J85" i="26"/>
  <c r="K94" i="26"/>
  <c r="G86" i="26"/>
  <c r="G99" i="26" s="1"/>
  <c r="I86" i="29"/>
  <c r="I99" i="29" s="1"/>
  <c r="I88" i="29"/>
  <c r="I100" i="29" s="1"/>
  <c r="K88" i="26"/>
  <c r="H94" i="26"/>
  <c r="G85" i="26"/>
  <c r="G87" i="26"/>
  <c r="K75" i="26"/>
  <c r="F100" i="26"/>
  <c r="S72" i="26"/>
  <c r="D73" i="26" s="1"/>
  <c r="N80" i="11" s="1"/>
  <c r="W72" i="26"/>
  <c r="D77" i="26" s="1"/>
  <c r="L80" i="11" s="1"/>
  <c r="K79" i="26"/>
  <c r="D88" i="26"/>
  <c r="H88" i="26"/>
  <c r="H100" i="26" s="1"/>
  <c r="G93" i="26"/>
  <c r="N81" i="11"/>
  <c r="G94" i="26"/>
  <c r="G100" i="26"/>
  <c r="E93" i="26"/>
  <c r="H93" i="26"/>
  <c r="Y73" i="26"/>
  <c r="T73" i="26"/>
  <c r="E74" i="26" s="1"/>
  <c r="W73" i="26"/>
  <c r="E77" i="26" s="1"/>
  <c r="P80" i="11" s="1"/>
  <c r="S73" i="26"/>
  <c r="E73" i="26" s="1"/>
  <c r="S80" i="11" s="1"/>
  <c r="Z73" i="26"/>
  <c r="E80" i="26" s="1"/>
  <c r="U73" i="26"/>
  <c r="X73" i="26"/>
  <c r="E78" i="26" s="1"/>
  <c r="P81" i="11" s="1"/>
  <c r="J99" i="26"/>
  <c r="J100" i="26"/>
  <c r="H99" i="26"/>
  <c r="L93" i="26"/>
  <c r="I88" i="26"/>
  <c r="I86" i="26"/>
  <c r="N19" i="24"/>
  <c r="L75" i="26"/>
  <c r="L85" i="26"/>
  <c r="L73" i="26"/>
  <c r="L74" i="26"/>
  <c r="N86" i="11"/>
  <c r="D99" i="26"/>
  <c r="L87" i="26"/>
  <c r="L79" i="26"/>
  <c r="S87" i="11"/>
  <c r="L94" i="26"/>
  <c r="P85" i="11"/>
  <c r="P87" i="11"/>
  <c r="K99" i="26"/>
  <c r="D75" i="26" l="1"/>
  <c r="N79" i="11" s="1"/>
  <c r="D79" i="26"/>
  <c r="L79" i="11" s="1"/>
  <c r="K100" i="26"/>
  <c r="D100" i="26"/>
  <c r="L87" i="11" s="1"/>
  <c r="L86" i="11"/>
  <c r="N20" i="24"/>
  <c r="E88" i="26"/>
  <c r="E86" i="26"/>
  <c r="E87" i="26"/>
  <c r="E79" i="26"/>
  <c r="P79" i="11" s="1"/>
  <c r="E75" i="26"/>
  <c r="S79" i="11" s="1"/>
  <c r="E85" i="26"/>
  <c r="E94" i="26"/>
  <c r="L85" i="11"/>
  <c r="N85" i="11"/>
  <c r="N21" i="24"/>
  <c r="N23" i="24"/>
  <c r="N24" i="24"/>
  <c r="N87" i="11"/>
  <c r="N17" i="24"/>
  <c r="H32" i="6"/>
  <c r="I100" i="26"/>
  <c r="I99" i="26"/>
  <c r="L86" i="26"/>
  <c r="L88" i="26"/>
  <c r="S85" i="11" l="1"/>
  <c r="E99" i="26"/>
  <c r="S86" i="11"/>
  <c r="E100" i="26"/>
  <c r="L100" i="26"/>
  <c r="L99" i="26"/>
  <c r="N22" i="24"/>
  <c r="N18" i="24" l="1"/>
  <c r="N25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<sst xmlns="http://schemas.openxmlformats.org/spreadsheetml/2006/main" count="2687" uniqueCount="835">
  <si>
    <t>-</t>
  </si>
  <si>
    <t>N/A</t>
  </si>
  <si>
    <t>CTR</t>
  </si>
  <si>
    <t>%</t>
  </si>
  <si>
    <t>EGTHD</t>
  </si>
  <si>
    <t>EGTHDM</t>
  </si>
  <si>
    <t>EGTK</t>
  </si>
  <si>
    <t>Engine_Configuration_1</t>
  </si>
  <si>
    <t>Engine_Configuration_2</t>
  </si>
  <si>
    <t>Engine_Configuration_3</t>
  </si>
  <si>
    <t>Engine_Rating</t>
  </si>
  <si>
    <t>Engineer_Name</t>
  </si>
  <si>
    <t>FMV_SEL</t>
  </si>
  <si>
    <t>FnCorrTC1Avg</t>
  </si>
  <si>
    <t>lb</t>
  </si>
  <si>
    <t>FnCorrTC2Avg</t>
  </si>
  <si>
    <t>FNK</t>
  </si>
  <si>
    <t>FNK_TO_MARG</t>
  </si>
  <si>
    <t>FNKM</t>
  </si>
  <si>
    <t>L</t>
  </si>
  <si>
    <t>HPTC_SEL</t>
  </si>
  <si>
    <t>HUM</t>
  </si>
  <si>
    <t>KSHUNT</t>
  </si>
  <si>
    <t>LHV</t>
  </si>
  <si>
    <t>LPTC_SEL</t>
  </si>
  <si>
    <t>MOP</t>
  </si>
  <si>
    <t>psid</t>
  </si>
  <si>
    <t>MOPK</t>
  </si>
  <si>
    <t>MOT</t>
  </si>
  <si>
    <t>N1</t>
  </si>
  <si>
    <t>rpm</t>
  </si>
  <si>
    <t>N1K</t>
  </si>
  <si>
    <t>N1R</t>
  </si>
  <si>
    <t>N2</t>
  </si>
  <si>
    <t>N2HDM</t>
  </si>
  <si>
    <t>N2K</t>
  </si>
  <si>
    <t>N2KM</t>
  </si>
  <si>
    <t>N2R25</t>
  </si>
  <si>
    <t>Operator_Name</t>
  </si>
  <si>
    <t>P_Cell_Front</t>
  </si>
  <si>
    <t>psia</t>
  </si>
  <si>
    <t>P_Cell_Rear</t>
  </si>
  <si>
    <t>P_Fuel</t>
  </si>
  <si>
    <t>psig</t>
  </si>
  <si>
    <t>P_Sop_Diff</t>
  </si>
  <si>
    <t>P_Sump</t>
  </si>
  <si>
    <t>PAMB1</t>
  </si>
  <si>
    <t>PAMB2</t>
  </si>
  <si>
    <t>PS13</t>
  </si>
  <si>
    <t>PS13_ECU</t>
  </si>
  <si>
    <t>PS2W</t>
  </si>
  <si>
    <t>PS2W1</t>
  </si>
  <si>
    <t>PS2W2</t>
  </si>
  <si>
    <t>PS2W3</t>
  </si>
  <si>
    <t>PS2W4</t>
  </si>
  <si>
    <t>PS3_SEL</t>
  </si>
  <si>
    <t>PT17</t>
  </si>
  <si>
    <t>PT17_1</t>
  </si>
  <si>
    <t>PT17_2</t>
  </si>
  <si>
    <t>PT25</t>
  </si>
  <si>
    <t>PT495</t>
  </si>
  <si>
    <t>PT54</t>
  </si>
  <si>
    <t>RHUM</t>
  </si>
  <si>
    <t>SFCK</t>
  </si>
  <si>
    <t>SFCRF</t>
  </si>
  <si>
    <t>Deg</t>
  </si>
  <si>
    <t>TRISE</t>
  </si>
  <si>
    <t>TT2</t>
  </si>
  <si>
    <t>VIBN1PAL</t>
  </si>
  <si>
    <t>mils</t>
  </si>
  <si>
    <t>VIBN1TRF</t>
  </si>
  <si>
    <t>VIBN2PAL</t>
  </si>
  <si>
    <t>ips</t>
  </si>
  <si>
    <t>VIBN2TRF</t>
  </si>
  <si>
    <t>W2K</t>
  </si>
  <si>
    <t>WF</t>
  </si>
  <si>
    <t>pph</t>
  </si>
  <si>
    <t>WFK</t>
  </si>
  <si>
    <t>TEST_NAME_UNIQUE</t>
  </si>
  <si>
    <t>TEST_CELL_NAME</t>
  </si>
  <si>
    <t>TEST_ID</t>
  </si>
  <si>
    <t>TEST_NAME</t>
  </si>
  <si>
    <t>TEST_DATE</t>
  </si>
  <si>
    <t>ENGINE_SERIAL_NO</t>
  </si>
  <si>
    <t>ENGINE_NAME</t>
  </si>
  <si>
    <t>ARCH_SET_ID</t>
  </si>
  <si>
    <t>ARCH_DATE</t>
  </si>
  <si>
    <t>TEST_DESC</t>
  </si>
  <si>
    <t>BUILD_NO</t>
  </si>
  <si>
    <t>TEST_OPER1</t>
  </si>
  <si>
    <t>TEST_OPER2</t>
  </si>
  <si>
    <t>TEST_ENG</t>
  </si>
  <si>
    <t>CLEANED</t>
  </si>
  <si>
    <t>CUSTOMER</t>
  </si>
  <si>
    <t>DefaultCustomer</t>
  </si>
  <si>
    <t>ENGINE_STANDARD</t>
  </si>
  <si>
    <t>DefaultStandard</t>
  </si>
  <si>
    <t>SG</t>
  </si>
  <si>
    <t>SG_TEMP</t>
  </si>
  <si>
    <t>EXHAUST_NOZZLE</t>
  </si>
  <si>
    <t>TSN</t>
  </si>
  <si>
    <t>CSN</t>
  </si>
  <si>
    <t>ESM_REV_NO</t>
  </si>
  <si>
    <t>ESM_REV_DATE</t>
  </si>
  <si>
    <t>FIRE_WIRE_1_INSTALLED</t>
  </si>
  <si>
    <t>FIRE_WIRE_2_INSTALLED</t>
  </si>
  <si>
    <t>ENG_CONF</t>
  </si>
  <si>
    <t>ENGINE_TYPE</t>
  </si>
  <si>
    <t>ECU_PN</t>
  </si>
  <si>
    <t>ECU_SOFT</t>
  </si>
  <si>
    <t>ENG_QUALITY_REPAIR</t>
  </si>
  <si>
    <t>BOUNS_WORKSCOPE</t>
  </si>
  <si>
    <t>OIL_TYPE</t>
  </si>
  <si>
    <t>TEST_TYPE</t>
  </si>
  <si>
    <t>BONUS_WORKSCOPE</t>
  </si>
  <si>
    <t>TEST_COMPLETED</t>
  </si>
  <si>
    <t>CUSTOMER_NAME</t>
  </si>
  <si>
    <t>TEST_END_DATE</t>
  </si>
  <si>
    <t>TEST_TRANSFERRED</t>
  </si>
  <si>
    <t>ENG_CONF_2</t>
  </si>
  <si>
    <t>ENG_CONF_3</t>
  </si>
  <si>
    <t>ENG_RATING</t>
  </si>
  <si>
    <t>T54</t>
  </si>
  <si>
    <t>s</t>
  </si>
  <si>
    <t>Engine Type:</t>
  </si>
  <si>
    <t>Customer:</t>
  </si>
  <si>
    <t>Oil Type:</t>
  </si>
  <si>
    <t>Engine S/N:</t>
  </si>
  <si>
    <t>Test Date:</t>
  </si>
  <si>
    <t>Exhaust Nozzle:</t>
  </si>
  <si>
    <t>ECU Software:</t>
  </si>
  <si>
    <t>Rating:</t>
  </si>
  <si>
    <t>PV NUMBER</t>
  </si>
  <si>
    <t>Quality repair:</t>
  </si>
  <si>
    <t>Bonus Workscope:</t>
  </si>
  <si>
    <t>Parameter</t>
  </si>
  <si>
    <t>Unit</t>
  </si>
  <si>
    <t>Mini-Idle</t>
  </si>
  <si>
    <t>Approach Idle</t>
  </si>
  <si>
    <t>Zero N1 values</t>
  </si>
  <si>
    <t>TEST_ENGINEER</t>
  </si>
  <si>
    <t>TEST_OPERATOR</t>
  </si>
  <si>
    <t>EGTKM</t>
  </si>
  <si>
    <t>EGT MARG with bonus</t>
  </si>
  <si>
    <t>TEST DURATION :</t>
  </si>
  <si>
    <t>HUMGR</t>
  </si>
  <si>
    <t>R-HUM</t>
  </si>
  <si>
    <t>lbs</t>
  </si>
  <si>
    <t>deg C</t>
  </si>
  <si>
    <t>lb/h/lb</t>
  </si>
  <si>
    <t xml:space="preserve"> -</t>
  </si>
  <si>
    <t>gr</t>
  </si>
  <si>
    <t>FN</t>
  </si>
  <si>
    <t>VSV-SEL</t>
  </si>
  <si>
    <t>VBV-SEL</t>
  </si>
  <si>
    <t>T-CELL</t>
  </si>
  <si>
    <t>T25-SEL</t>
  </si>
  <si>
    <t>T3-SEL</t>
  </si>
  <si>
    <t>T49.5-SEL</t>
  </si>
  <si>
    <t>SOT</t>
  </si>
  <si>
    <t>T-FWD-ADAPT</t>
  </si>
  <si>
    <t>T-AFT-ADAPT</t>
  </si>
  <si>
    <t>R-HUM Rear</t>
  </si>
  <si>
    <t>T2-FAR</t>
  </si>
  <si>
    <t>deg F</t>
  </si>
  <si>
    <t>Ratio</t>
  </si>
  <si>
    <t>RATING NUM</t>
  </si>
  <si>
    <t>FULLSET TIME</t>
  </si>
  <si>
    <t xml:space="preserve">ACCEL </t>
  </si>
  <si>
    <t>DECEL</t>
  </si>
  <si>
    <t>EGT_TRIM</t>
  </si>
  <si>
    <t>TLA_SEL</t>
  </si>
  <si>
    <t>N2R2HD</t>
  </si>
  <si>
    <t>PT2_CAL</t>
  </si>
  <si>
    <t>T5_SEL</t>
  </si>
  <si>
    <t>_P</t>
  </si>
  <si>
    <t>Num</t>
  </si>
  <si>
    <t>B1</t>
  </si>
  <si>
    <t>B2</t>
  </si>
  <si>
    <t>B2B</t>
  </si>
  <si>
    <t>B4</t>
  </si>
  <si>
    <t>B5</t>
  </si>
  <si>
    <t>B6</t>
  </si>
  <si>
    <t>B8</t>
  </si>
  <si>
    <t>AFR</t>
  </si>
  <si>
    <t>FULLSET DATE</t>
  </si>
  <si>
    <t>PS3R_SEL</t>
  </si>
  <si>
    <t>FNK TO-MARGIN</t>
  </si>
  <si>
    <t>sec</t>
  </si>
  <si>
    <t>L/H</t>
  </si>
  <si>
    <t xml:space="preserve"> B1/P or  /3</t>
  </si>
  <si>
    <t xml:space="preserve"> B2/P or /3</t>
  </si>
  <si>
    <t xml:space="preserve"> B3/P or /3</t>
  </si>
  <si>
    <t xml:space="preserve"> B4/P or /3</t>
  </si>
  <si>
    <t xml:space="preserve"> B6/P or /3</t>
  </si>
  <si>
    <t xml:space="preserve"> B7/P or /3</t>
  </si>
  <si>
    <t xml:space="preserve"> B8/P or /3</t>
  </si>
  <si>
    <t xml:space="preserve"> B9/P or /3</t>
  </si>
  <si>
    <t xml:space="preserve"> B9/2P</t>
  </si>
  <si>
    <t xml:space="preserve"> B6/2P</t>
  </si>
  <si>
    <t xml:space="preserve"> B4/2P</t>
  </si>
  <si>
    <t xml:space="preserve"> B3/2P</t>
  </si>
  <si>
    <t xml:space="preserve"> B2/2P</t>
  </si>
  <si>
    <t xml:space="preserve"> B1/2P</t>
  </si>
  <si>
    <t>Maxi Continu</t>
  </si>
  <si>
    <t>Take Off</t>
  </si>
  <si>
    <t>Maxi Continu 2</t>
  </si>
  <si>
    <t>Take Off 2</t>
  </si>
  <si>
    <t>SIGNATURE:</t>
  </si>
  <si>
    <t>OIL CONSUMPTION:</t>
  </si>
  <si>
    <t>MAGNETIC PLUGS:</t>
  </si>
  <si>
    <t>ACCELERATION TIME:</t>
  </si>
  <si>
    <t>N1 TRIM:</t>
  </si>
  <si>
    <t>ESM Revision:</t>
  </si>
  <si>
    <t>Provenance:</t>
  </si>
  <si>
    <t>Test Type:</t>
  </si>
  <si>
    <t xml:space="preserve">ENGINEER NAME: </t>
  </si>
  <si>
    <t>PV NUMBER:</t>
  </si>
  <si>
    <t>min</t>
  </si>
  <si>
    <t>Yes</t>
  </si>
  <si>
    <t>No</t>
  </si>
  <si>
    <t>Drop Menu</t>
  </si>
  <si>
    <t>P25_ECU</t>
  </si>
  <si>
    <t>Fuel SG</t>
  </si>
  <si>
    <t>Kg/L</t>
  </si>
  <si>
    <t>FUEL Temp</t>
  </si>
  <si>
    <t>ENGINE TEST CERTIFICATE</t>
  </si>
  <si>
    <t>TESTING INFORMATION</t>
  </si>
  <si>
    <t>ENGINE TESTING CONFIGURATION</t>
  </si>
  <si>
    <t>Engine Type Model</t>
  </si>
  <si>
    <t>ESM revision</t>
  </si>
  <si>
    <t>Engine S/N</t>
  </si>
  <si>
    <t>ECU P/N</t>
  </si>
  <si>
    <t>Engine Rating</t>
  </si>
  <si>
    <t>FADEC Software P/N</t>
  </si>
  <si>
    <t>Reason for Test</t>
  </si>
  <si>
    <t>Oil Type Used</t>
  </si>
  <si>
    <t>Fuel Type</t>
  </si>
  <si>
    <t>Jet A-1</t>
  </si>
  <si>
    <t>Test Date</t>
  </si>
  <si>
    <t>ENGINE FINAL PERFORMANCE DATA</t>
  </si>
  <si>
    <t>Power Setting N1K</t>
  </si>
  <si>
    <t>Flat Rated Temp</t>
  </si>
  <si>
    <t>CORRECTED VALUES</t>
  </si>
  <si>
    <t>STANDARD DAY</t>
  </si>
  <si>
    <t>EGT</t>
  </si>
  <si>
    <t>SFC</t>
  </si>
  <si>
    <t>(RPM)</t>
  </si>
  <si>
    <t xml:space="preserve"> (˚C)</t>
  </si>
  <si>
    <t>(Lbs)</t>
  </si>
  <si>
    <t>(˚C)</t>
  </si>
  <si>
    <t xml:space="preserve"> (PPH)</t>
  </si>
  <si>
    <t xml:space="preserve">(PPH/Lbs) </t>
  </si>
  <si>
    <t>Take-Off</t>
  </si>
  <si>
    <t>Engine Result</t>
  </si>
  <si>
    <t>Minimum Limit</t>
  </si>
  <si>
    <t>Max. Continuous</t>
  </si>
  <si>
    <t>SYSTEM PERFORMANCE</t>
  </si>
  <si>
    <t>RESULT</t>
  </si>
  <si>
    <t>UNITS</t>
  </si>
  <si>
    <t>LIMIT</t>
  </si>
  <si>
    <t>Maximum Vibration N1 Tracked on No.1 Brg:</t>
  </si>
  <si>
    <t>Mils</t>
  </si>
  <si>
    <t>Maximum Vibration N1 Tracked on TRF:</t>
  </si>
  <si>
    <t>Maximum Vibration N2 Tracked on No.1 Brg:</t>
  </si>
  <si>
    <t>Maximum Vibration N2 Tracked on TRF:</t>
  </si>
  <si>
    <t>Acceleration Time:</t>
  </si>
  <si>
    <t>&lt;5 s</t>
  </si>
  <si>
    <t>Oil Consumption:</t>
  </si>
  <si>
    <t>L/h</t>
  </si>
  <si>
    <t>&lt;0,57 L/h</t>
  </si>
  <si>
    <t>Psid</t>
  </si>
  <si>
    <t xml:space="preserve">45.7 - 64.5 </t>
  </si>
  <si>
    <t>Oil Temperature at Take-Off:</t>
  </si>
  <si>
    <t>˚C</t>
  </si>
  <si>
    <t>&lt; 140 ˚C</t>
  </si>
  <si>
    <t>Scavenge Oil Temperature at Take-Off:</t>
  </si>
  <si>
    <t>&lt; 160 ˚C</t>
  </si>
  <si>
    <t>Fuel Specific Gravity (SG):</t>
  </si>
  <si>
    <t>Fuel Low Heating Value (LHV):</t>
  </si>
  <si>
    <t>J/Kg</t>
  </si>
  <si>
    <t>Fuel Specific Gravity Temperature:</t>
  </si>
  <si>
    <t>EPR at Take-Off:</t>
  </si>
  <si>
    <t>CPR at Take-Off:</t>
  </si>
  <si>
    <t>TPR at Take-Off:</t>
  </si>
  <si>
    <t>CTR at Take-Off:</t>
  </si>
  <si>
    <t>FPR at Take-Off:</t>
  </si>
  <si>
    <t>N1 Modifier Level:</t>
  </si>
  <si>
    <t>Inhibiting Fluid Used in Fuel System:</t>
  </si>
  <si>
    <t>Inhibiting Fluid Used in Lube System:</t>
  </si>
  <si>
    <t>Trim Balance Performed:</t>
  </si>
  <si>
    <t>Total Engine Running Time:</t>
  </si>
  <si>
    <t>Total Fuel Consumption:</t>
  </si>
  <si>
    <t>Signature:</t>
  </si>
  <si>
    <t>Stamp:</t>
  </si>
  <si>
    <t>Date:</t>
  </si>
  <si>
    <t>&lt;1,6 ips</t>
  </si>
  <si>
    <t>Bonus Works</t>
  </si>
  <si>
    <t>Customer</t>
  </si>
  <si>
    <t>pps</t>
  </si>
  <si>
    <t>W2K at Take-Off:</t>
  </si>
  <si>
    <t>RAC-TBV_SEL</t>
  </si>
  <si>
    <t>HOT DAY MOD</t>
  </si>
  <si>
    <t>Oil Pressure Corrected at Take-Off:</t>
  </si>
  <si>
    <t>N2CC3</t>
  </si>
  <si>
    <t>The bearing #4 had been tested and passed following ESM 72-00-00 testing 009</t>
  </si>
  <si>
    <t>This engine is clear of FADEC Fault following ESM 72-00-00-01 Fault Isolation 000 to 056</t>
  </si>
  <si>
    <t>DATE:</t>
  </si>
  <si>
    <t xml:space="preserve">PIC VIB PAL1 - N1 </t>
  </si>
  <si>
    <t xml:space="preserve">PIC VIB PAL1 - N2 </t>
  </si>
  <si>
    <t xml:space="preserve">PIC VIB TRF - N1 </t>
  </si>
  <si>
    <t xml:space="preserve">PIC VIB TRF - N2 </t>
  </si>
  <si>
    <t xml:space="preserve">ips </t>
  </si>
  <si>
    <t>ZEPHYR TEST CELL</t>
  </si>
  <si>
    <t>FULL PERFORMANCE REPORT</t>
  </si>
  <si>
    <t xml:space="preserve">ESM REV                        </t>
  </si>
  <si>
    <t>:</t>
  </si>
  <si>
    <t>DATE REV:</t>
  </si>
  <si>
    <t>D D    M M M    Y Y</t>
  </si>
  <si>
    <t xml:space="preserve">ENGINE TYPE     </t>
  </si>
  <si>
    <t xml:space="preserve">PV NUMBER                   </t>
  </si>
  <si>
    <t>TESTING 72-00-00</t>
  </si>
  <si>
    <t xml:space="preserve">CUSTOMER        </t>
  </si>
  <si>
    <t xml:space="preserve">OIL TYPE                       </t>
  </si>
  <si>
    <t xml:space="preserve">ENGINE S/N       </t>
  </si>
  <si>
    <t xml:space="preserve">ECU SOFTWARE            </t>
  </si>
  <si>
    <t xml:space="preserve">EXHAUST  NOZZLE         </t>
  </si>
  <si>
    <t xml:space="preserve">TEST TYPE         </t>
  </si>
  <si>
    <t xml:space="preserve">STARTED TEST DATE    </t>
  </si>
  <si>
    <t>RPM</t>
  </si>
  <si>
    <t>LBS</t>
  </si>
  <si>
    <t>°C</t>
  </si>
  <si>
    <t>LB/Hr</t>
  </si>
  <si>
    <t>FNK Margin</t>
  </si>
  <si>
    <t>FNK min</t>
  </si>
  <si>
    <t>ACCELERATION TIME</t>
  </si>
  <si>
    <t>ACTUAL</t>
  </si>
  <si>
    <t>Sec</t>
  </si>
  <si>
    <t>VIBRATION</t>
  </si>
  <si>
    <t>LP Rotor</t>
  </si>
  <si>
    <r>
      <rPr>
        <b/>
        <sz val="10"/>
        <rFont val="Calibri"/>
        <family val="2"/>
      </rPr>
      <t>•</t>
    </r>
    <r>
      <rPr>
        <b/>
        <sz val="10"/>
        <rFont val="Arial"/>
        <family val="2"/>
      </rPr>
      <t xml:space="preserve"> Max at</t>
    </r>
  </si>
  <si>
    <t>HP Rotor</t>
  </si>
  <si>
    <t>INDICATED OIL PRESSURE AT GROUND IDLE:</t>
  </si>
  <si>
    <t>CORRECTED OIL PRESSURE AT TAKE-OFF:</t>
  </si>
  <si>
    <t>**</t>
  </si>
  <si>
    <t>L/Hr</t>
  </si>
  <si>
    <t>ENGINE STATUS :</t>
  </si>
  <si>
    <t>ACCEPTED</t>
  </si>
  <si>
    <t>□</t>
  </si>
  <si>
    <t>REJECTED</t>
  </si>
  <si>
    <t>Test Approval by:</t>
  </si>
  <si>
    <t>Approval Date:</t>
  </si>
  <si>
    <t>D D  M M M  Y Y</t>
  </si>
  <si>
    <t>Rating</t>
  </si>
  <si>
    <t xml:space="preserve">Date </t>
  </si>
  <si>
    <t>Time of Day</t>
  </si>
  <si>
    <t>PPH</t>
  </si>
  <si>
    <t>OBSERVED DATA</t>
  </si>
  <si>
    <t>FN1</t>
  </si>
  <si>
    <t>FN2</t>
  </si>
  <si>
    <t>TFuel</t>
  </si>
  <si>
    <t>PFuel</t>
  </si>
  <si>
    <t>PSIG</t>
  </si>
  <si>
    <t>WF1</t>
  </si>
  <si>
    <t>WF2</t>
  </si>
  <si>
    <t>BTU/LBS</t>
  </si>
  <si>
    <t>GRAINS</t>
  </si>
  <si>
    <t>PSIA</t>
  </si>
  <si>
    <t>MILS</t>
  </si>
  <si>
    <t>IPS</t>
  </si>
  <si>
    <t>EEC DATA</t>
  </si>
  <si>
    <t>Label</t>
  </si>
  <si>
    <t>A</t>
  </si>
  <si>
    <t>B</t>
  </si>
  <si>
    <t>N1CMD</t>
  </si>
  <si>
    <t>N2ACTSEL</t>
  </si>
  <si>
    <t>[344]</t>
  </si>
  <si>
    <t xml:space="preserve">T12               </t>
  </si>
  <si>
    <t xml:space="preserve">T12              </t>
  </si>
  <si>
    <t xml:space="preserve">T25             </t>
  </si>
  <si>
    <t xml:space="preserve">T25              </t>
  </si>
  <si>
    <t xml:space="preserve">T3                 </t>
  </si>
  <si>
    <t>[217]</t>
  </si>
  <si>
    <t xml:space="preserve">T3                </t>
  </si>
  <si>
    <t xml:space="preserve">TECU           </t>
  </si>
  <si>
    <t xml:space="preserve">TECU          </t>
  </si>
  <si>
    <t xml:space="preserve">P0               </t>
  </si>
  <si>
    <t xml:space="preserve">P0                </t>
  </si>
  <si>
    <t>PT2SEL</t>
  </si>
  <si>
    <t xml:space="preserve">PS3              </t>
  </si>
  <si>
    <t xml:space="preserve">PS3             </t>
  </si>
  <si>
    <t xml:space="preserve">VSVSEL       </t>
  </si>
  <si>
    <t xml:space="preserve">VSVSEL      </t>
  </si>
  <si>
    <t xml:space="preserve">VSVDMD      </t>
  </si>
  <si>
    <t>[061]</t>
  </si>
  <si>
    <t xml:space="preserve">VBVSEL       </t>
  </si>
  <si>
    <t xml:space="preserve">VBVSEL        </t>
  </si>
  <si>
    <t xml:space="preserve">VBVDMD      </t>
  </si>
  <si>
    <t>[062]</t>
  </si>
  <si>
    <t xml:space="preserve">VBVDMD     </t>
  </si>
  <si>
    <t>[304]</t>
  </si>
  <si>
    <t>[244]</t>
  </si>
  <si>
    <t>T_Cowl Fwd</t>
  </si>
  <si>
    <t>T_Cowl Aft</t>
  </si>
  <si>
    <t>N1 TRF</t>
  </si>
  <si>
    <t>N2 TRF</t>
  </si>
  <si>
    <t>N1 PAL 1</t>
  </si>
  <si>
    <t>N2 PAL 1</t>
  </si>
  <si>
    <t>VIB_PAL_N1</t>
  </si>
  <si>
    <t>VIB_PAL_N2</t>
  </si>
  <si>
    <t>VIB_TRF_N1</t>
  </si>
  <si>
    <t>VIB_TRF_N2</t>
  </si>
  <si>
    <t>T495 SEL</t>
  </si>
  <si>
    <t>WFM SEL</t>
  </si>
  <si>
    <t>N1ACT</t>
  </si>
  <si>
    <t>PS13 ECU</t>
  </si>
  <si>
    <t>P25 ECU</t>
  </si>
  <si>
    <t>°F</t>
  </si>
  <si>
    <t xml:space="preserve">T5 SEL                </t>
  </si>
  <si>
    <t>Page 1 of 5</t>
  </si>
  <si>
    <t>Page 2 of 5</t>
  </si>
  <si>
    <t>Page 3 of 5</t>
  </si>
  <si>
    <t>Page 4 of 5</t>
  </si>
  <si>
    <t>Page 5 of 5</t>
  </si>
  <si>
    <t>≥13</t>
  </si>
  <si>
    <t>N2R2HD Margin</t>
  </si>
  <si>
    <t xml:space="preserve">STANDARD DAY WITH N1 MODIFIER </t>
  </si>
  <si>
    <t xml:space="preserve">HOT DAY WITH N1 MODIFIER </t>
  </si>
  <si>
    <t>[346]</t>
  </si>
  <si>
    <t>[341]</t>
  </si>
  <si>
    <t xml:space="preserve">TLA            </t>
  </si>
  <si>
    <t>[133]</t>
  </si>
  <si>
    <t>[263]</t>
  </si>
  <si>
    <t>[260]</t>
  </si>
  <si>
    <t>PS12</t>
  </si>
  <si>
    <t>[131]</t>
  </si>
  <si>
    <t>[264]</t>
  </si>
  <si>
    <t>[072]</t>
  </si>
  <si>
    <t>°</t>
  </si>
  <si>
    <t>[071]</t>
  </si>
  <si>
    <t xml:space="preserve"> B5/P or /3</t>
  </si>
  <si>
    <t xml:space="preserve">Take-Off </t>
  </si>
  <si>
    <t>Seal Break-in Run Performed:</t>
  </si>
  <si>
    <t>Water Wash Performed:</t>
  </si>
  <si>
    <t>Oil Flushing Performed:</t>
  </si>
  <si>
    <t>How many engine ratings would be tested ?</t>
  </si>
  <si>
    <t>Engine Quality Repair</t>
  </si>
  <si>
    <t>Full Set 2</t>
  </si>
  <si>
    <t>Full Set 3</t>
  </si>
  <si>
    <t>Full Set 4</t>
  </si>
  <si>
    <t>Full Set 5</t>
  </si>
  <si>
    <t>Full Set 6</t>
  </si>
  <si>
    <t>Full Set 7</t>
  </si>
  <si>
    <t>Full Set 8</t>
  </si>
  <si>
    <t>Full Set 9</t>
  </si>
  <si>
    <t>Full Set 1</t>
  </si>
  <si>
    <t>N1 Trim</t>
  </si>
  <si>
    <t>Maximum Limit</t>
  </si>
  <si>
    <t>QUALITY REPAIR</t>
  </si>
  <si>
    <t>N1 MOD</t>
  </si>
  <si>
    <t>POWER</t>
  </si>
  <si>
    <t>ΔFNM</t>
  </si>
  <si>
    <t>ΔEGTM</t>
  </si>
  <si>
    <t>ΔN2M</t>
  </si>
  <si>
    <t>ΔN1K</t>
  </si>
  <si>
    <t>TO</t>
  </si>
  <si>
    <t>MC</t>
  </si>
  <si>
    <t>CFM56-5B1</t>
  </si>
  <si>
    <t>CFM56-5B2</t>
  </si>
  <si>
    <t>CFM56-5B3</t>
  </si>
  <si>
    <t>CFM56-5B4 AND CFM56-5B7</t>
  </si>
  <si>
    <t>CFM56-5B8</t>
  </si>
  <si>
    <t>CFM56-5B5</t>
  </si>
  <si>
    <t>CFM56-5B6</t>
  </si>
  <si>
    <t>CFM56-5B9</t>
  </si>
  <si>
    <t>FS1</t>
  </si>
  <si>
    <t>FS2</t>
  </si>
  <si>
    <t>FS3</t>
  </si>
  <si>
    <t>FS4</t>
  </si>
  <si>
    <t>FS5</t>
  </si>
  <si>
    <t>FS6</t>
  </si>
  <si>
    <t>FS7</t>
  </si>
  <si>
    <t>FS8</t>
  </si>
  <si>
    <t>FS9</t>
  </si>
  <si>
    <t>N1 MOD LEVEL</t>
  </si>
  <si>
    <t>PERFORMANCE WITH N1 MODIFIER</t>
  </si>
  <si>
    <t>N1KRM</t>
  </si>
  <si>
    <t>19-8053</t>
  </si>
  <si>
    <t>TEST_CLOSED</t>
  </si>
  <si>
    <t>Y</t>
  </si>
  <si>
    <t>TEST_CLOSED_DATE</t>
  </si>
  <si>
    <t>Flight</t>
  </si>
  <si>
    <t>B4_P,B4_3</t>
  </si>
  <si>
    <t>2123M56P04</t>
  </si>
  <si>
    <t>5BT.F1</t>
  </si>
  <si>
    <t>NQSV</t>
  </si>
  <si>
    <t>Performance Test</t>
  </si>
  <si>
    <t>WL</t>
  </si>
  <si>
    <t>B4_P</t>
  </si>
  <si>
    <t>N1MOD</t>
  </si>
  <si>
    <t>ENGINE TYPE MODEL</t>
  </si>
  <si>
    <t>TEST DATE</t>
  </si>
  <si>
    <t>.</t>
  </si>
  <si>
    <t>ENGINE SHOP MANUEL</t>
  </si>
  <si>
    <t>ENGINE S/N</t>
  </si>
  <si>
    <t>FADEC SOFTWARE</t>
  </si>
  <si>
    <t>REASON FOR TEST</t>
  </si>
  <si>
    <t>OIL TYPE USED</t>
  </si>
  <si>
    <t xml:space="preserve">Rating: </t>
  </si>
  <si>
    <t>Fnnet</t>
  </si>
  <si>
    <t>LB</t>
  </si>
  <si>
    <t>T_CELL</t>
  </si>
  <si>
    <t>Signature BT:</t>
  </si>
  <si>
    <t>I hereby certify that the test for the engine mentioned above was carried out in accordance with CFM56-5B ESM</t>
  </si>
  <si>
    <t>PT2</t>
  </si>
  <si>
    <t>EGTHDM Margin</t>
  </si>
  <si>
    <t>EGTHDM MARGIN CALCULATION</t>
  </si>
  <si>
    <t>EGTHDM TO MARGIN</t>
  </si>
  <si>
    <t>Margin (%)</t>
  </si>
  <si>
    <t>EGTHDM Margin at Take-Off with Bonus Workscope:</t>
  </si>
  <si>
    <t>STEP 1</t>
  </si>
  <si>
    <t>STANDARD DAY PERFORMANCE WITH N1 MODIFIER</t>
  </si>
  <si>
    <t>HOT DAY PERFORMANCE WITH N1 MODIFIER</t>
  </si>
  <si>
    <t>Comments only for rejected engine:</t>
  </si>
  <si>
    <t>Exhaust Nozzle Type</t>
  </si>
  <si>
    <t>Max Continuous</t>
  </si>
  <si>
    <t>Min Idle</t>
  </si>
  <si>
    <t>Flight Idle</t>
  </si>
  <si>
    <t>GA TELESIS DATA PERFORMANCES VALIDATION</t>
  </si>
  <si>
    <t>STANDARD DAY PERFORMANCE</t>
  </si>
  <si>
    <t>HOT DAY PERFORMANCE</t>
  </si>
  <si>
    <t>GENERAL INFORMATION</t>
  </si>
  <si>
    <t xml:space="preserve">N2 </t>
  </si>
  <si>
    <t>&lt;4 Mils</t>
  </si>
  <si>
    <t>ESM LIMIT</t>
  </si>
  <si>
    <t>VIBRATION DATA</t>
  </si>
  <si>
    <t>PRESSURE DATA</t>
  </si>
  <si>
    <t>TEMPERATURE DATA</t>
  </si>
  <si>
    <t xml:space="preserve">Mils </t>
  </si>
  <si>
    <t>CFM56-7B ENGINE</t>
  </si>
  <si>
    <t>ENGINE TESTED ACCORDING TO ESM CFM 7B</t>
  </si>
  <si>
    <t>CFM56-7B</t>
  </si>
  <si>
    <t>GATES-Vantaa</t>
  </si>
  <si>
    <t>Rytkonen</t>
  </si>
  <si>
    <t>CFM56_7B</t>
  </si>
  <si>
    <t>EX2380</t>
  </si>
  <si>
    <t>I hereby certify that the test for the above mentioned engine have been carried out in accordance with CFM56-7B ESM</t>
  </si>
  <si>
    <t>D316A</t>
  </si>
  <si>
    <t>CFM56-7B1</t>
  </si>
  <si>
    <t>CFM56-7B2</t>
  </si>
  <si>
    <t>CFM56-7B3</t>
  </si>
  <si>
    <t>CFM56-7B4 AND CFM56-7B7</t>
  </si>
  <si>
    <t>CFM56-7B5</t>
  </si>
  <si>
    <t>CFM56-7B6</t>
  </si>
  <si>
    <t>CFM56-7B8</t>
  </si>
  <si>
    <t>CFM56-7B9</t>
  </si>
  <si>
    <t>FNK3</t>
  </si>
  <si>
    <t>EGTK3</t>
  </si>
  <si>
    <t>EGTK3M</t>
  </si>
  <si>
    <t>Margin</t>
  </si>
  <si>
    <t>N2K3</t>
  </si>
  <si>
    <t>N2K3M</t>
  </si>
  <si>
    <t>N2CC3M</t>
  </si>
  <si>
    <t>WFK3</t>
  </si>
  <si>
    <t>SFCK3</t>
  </si>
  <si>
    <t>FNK3M</t>
  </si>
  <si>
    <t>RHUM1</t>
  </si>
  <si>
    <t>SPHUM_gr</t>
  </si>
  <si>
    <t>TT2_1</t>
  </si>
  <si>
    <t>TT2_2</t>
  </si>
  <si>
    <t>TT2_3</t>
  </si>
  <si>
    <t>TT2_4</t>
  </si>
  <si>
    <t>TT2_5</t>
  </si>
  <si>
    <t>TT2_6</t>
  </si>
  <si>
    <t>TT2_7</t>
  </si>
  <si>
    <t>TT2_8</t>
  </si>
  <si>
    <t>TT2_9</t>
  </si>
  <si>
    <t>TUC_210L</t>
  </si>
  <si>
    <t>TUC_210R</t>
  </si>
  <si>
    <t>TUC_228L</t>
  </si>
  <si>
    <t>TUC_228R</t>
  </si>
  <si>
    <t>TUC_228T</t>
  </si>
  <si>
    <t>D316B</t>
  </si>
  <si>
    <t>PAMB</t>
  </si>
  <si>
    <t>PBARO</t>
  </si>
  <si>
    <t>PS2W_1</t>
  </si>
  <si>
    <t>PS2W_2</t>
  </si>
  <si>
    <t>PT17LHX</t>
  </si>
  <si>
    <t>PT17RHX</t>
  </si>
  <si>
    <t>PT2Calc</t>
  </si>
  <si>
    <t>PT54X</t>
  </si>
  <si>
    <t>PSUMP</t>
  </si>
  <si>
    <t>PoilC</t>
  </si>
  <si>
    <t>[211]</t>
  </si>
  <si>
    <t>[322]</t>
  </si>
  <si>
    <t>[321]</t>
  </si>
  <si>
    <t>[300]</t>
  </si>
  <si>
    <t>TECU</t>
  </si>
  <si>
    <t>[203]</t>
  </si>
  <si>
    <t xml:space="preserve">HPTCSEL </t>
  </si>
  <si>
    <t>HPTCDMD</t>
  </si>
  <si>
    <t xml:space="preserve">HPTCDMD </t>
  </si>
  <si>
    <t xml:space="preserve">LPTCSEL </t>
  </si>
  <si>
    <t>LPTCDMD</t>
  </si>
  <si>
    <t>[330]</t>
  </si>
  <si>
    <t>[331]</t>
  </si>
  <si>
    <t>[305]</t>
  </si>
  <si>
    <t>FMVDMD</t>
  </si>
  <si>
    <t>FMVSEL</t>
  </si>
  <si>
    <t>[324]</t>
  </si>
  <si>
    <t>[301]</t>
  </si>
  <si>
    <t xml:space="preserve">CTR= </t>
  </si>
  <si>
    <t xml:space="preserve">D061A= </t>
  </si>
  <si>
    <t xml:space="preserve">D061B= </t>
  </si>
  <si>
    <t xml:space="preserve">D062A= </t>
  </si>
  <si>
    <t xml:space="preserve">D062B= </t>
  </si>
  <si>
    <t xml:space="preserve">D071A= </t>
  </si>
  <si>
    <t xml:space="preserve">D071B= </t>
  </si>
  <si>
    <t xml:space="preserve">D072A= </t>
  </si>
  <si>
    <t xml:space="preserve">D072B= </t>
  </si>
  <si>
    <t xml:space="preserve">D133A= </t>
  </si>
  <si>
    <t xml:space="preserve">D133B= </t>
  </si>
  <si>
    <t xml:space="preserve">D134A= </t>
  </si>
  <si>
    <t xml:space="preserve">D134B= </t>
  </si>
  <si>
    <t xml:space="preserve">D145A= </t>
  </si>
  <si>
    <t xml:space="preserve">D145B= </t>
  </si>
  <si>
    <t xml:space="preserve">D146A= </t>
  </si>
  <si>
    <t xml:space="preserve">D146B= </t>
  </si>
  <si>
    <t xml:space="preserve">D203A= </t>
  </si>
  <si>
    <t xml:space="preserve">D203B= </t>
  </si>
  <si>
    <t xml:space="preserve">D211A= </t>
  </si>
  <si>
    <t xml:space="preserve">D211B= </t>
  </si>
  <si>
    <t xml:space="preserve">D244A= </t>
  </si>
  <si>
    <t xml:space="preserve">D244B= </t>
  </si>
  <si>
    <t xml:space="preserve">D260A= </t>
  </si>
  <si>
    <t xml:space="preserve">D260B= </t>
  </si>
  <si>
    <t xml:space="preserve">D264A= </t>
  </si>
  <si>
    <t xml:space="preserve">D264B= </t>
  </si>
  <si>
    <t xml:space="preserve">D265A= </t>
  </si>
  <si>
    <t xml:space="preserve">D265B= </t>
  </si>
  <si>
    <t xml:space="preserve">D267A= </t>
  </si>
  <si>
    <t xml:space="preserve">D267B= </t>
  </si>
  <si>
    <t xml:space="preserve">D300A= </t>
  </si>
  <si>
    <t xml:space="preserve">D300B= </t>
  </si>
  <si>
    <t xml:space="preserve">D301A= </t>
  </si>
  <si>
    <t xml:space="preserve">D301B= </t>
  </si>
  <si>
    <t xml:space="preserve">D304A= </t>
  </si>
  <si>
    <t xml:space="preserve">D304B= </t>
  </si>
  <si>
    <t xml:space="preserve">D305A= </t>
  </si>
  <si>
    <t xml:space="preserve">D305B= </t>
  </si>
  <si>
    <t xml:space="preserve">D316A= </t>
  </si>
  <si>
    <t xml:space="preserve">D316B= </t>
  </si>
  <si>
    <t xml:space="preserve">D321A= </t>
  </si>
  <si>
    <t xml:space="preserve">D321B= </t>
  </si>
  <si>
    <t xml:space="preserve">D322A= </t>
  </si>
  <si>
    <t xml:space="preserve">WFS= </t>
  </si>
  <si>
    <t xml:space="preserve">D322B= </t>
  </si>
  <si>
    <t xml:space="preserve">D324A= </t>
  </si>
  <si>
    <t xml:space="preserve">D324B= </t>
  </si>
  <si>
    <t xml:space="preserve">D326A= </t>
  </si>
  <si>
    <t xml:space="preserve">D326B= </t>
  </si>
  <si>
    <t xml:space="preserve">D330A= </t>
  </si>
  <si>
    <t xml:space="preserve">D330B= </t>
  </si>
  <si>
    <t xml:space="preserve">D331A= </t>
  </si>
  <si>
    <t xml:space="preserve">D331B= </t>
  </si>
  <si>
    <t xml:space="preserve">D341A= </t>
  </si>
  <si>
    <t xml:space="preserve">D341B= </t>
  </si>
  <si>
    <t xml:space="preserve">D344A= </t>
  </si>
  <si>
    <t xml:space="preserve">D344B= </t>
  </si>
  <si>
    <t xml:space="preserve">D346A= </t>
  </si>
  <si>
    <t xml:space="preserve">D346B= </t>
  </si>
  <si>
    <t xml:space="preserve">EGT= </t>
  </si>
  <si>
    <t xml:space="preserve">EGTHD= </t>
  </si>
  <si>
    <t xml:space="preserve">EGTHD_MCd= </t>
  </si>
  <si>
    <t xml:space="preserve">EGTHD_TOd= </t>
  </si>
  <si>
    <t xml:space="preserve">EGTHDM= </t>
  </si>
  <si>
    <t xml:space="preserve">EGTHDM_MCd= </t>
  </si>
  <si>
    <t xml:space="preserve">WFK3_TOd= </t>
  </si>
  <si>
    <t xml:space="preserve">WFK3_MCd= </t>
  </si>
  <si>
    <t xml:space="preserve">WFK3= </t>
  </si>
  <si>
    <t xml:space="preserve">WFK2= </t>
  </si>
  <si>
    <t xml:space="preserve">WFK1= </t>
  </si>
  <si>
    <t xml:space="preserve">WFK= </t>
  </si>
  <si>
    <t xml:space="preserve">WF2= </t>
  </si>
  <si>
    <t xml:space="preserve">WF1= </t>
  </si>
  <si>
    <t xml:space="preserve">EGTHDM_TOd= </t>
  </si>
  <si>
    <t xml:space="preserve">EGTHDMCLim= </t>
  </si>
  <si>
    <t xml:space="preserve">EGTHDMMrg= </t>
  </si>
  <si>
    <t xml:space="preserve">EGTHDMMrg_MCd= </t>
  </si>
  <si>
    <t xml:space="preserve">EGTHDMMrg_TOd= </t>
  </si>
  <si>
    <t xml:space="preserve">EGTHDTOLim= </t>
  </si>
  <si>
    <t xml:space="preserve">EGTK= </t>
  </si>
  <si>
    <t xml:space="preserve">EGTK1= </t>
  </si>
  <si>
    <t xml:space="preserve">EGTK2= </t>
  </si>
  <si>
    <t xml:space="preserve">EGTK3= </t>
  </si>
  <si>
    <t xml:space="preserve">EGTK3_MCd= </t>
  </si>
  <si>
    <t xml:space="preserve">EGTK3_TOd= </t>
  </si>
  <si>
    <t xml:space="preserve">EGTK3M= </t>
  </si>
  <si>
    <t xml:space="preserve">EPR= </t>
  </si>
  <si>
    <t xml:space="preserve">EPRK1= </t>
  </si>
  <si>
    <t xml:space="preserve">FL_StrtLvrIdle= </t>
  </si>
  <si>
    <t xml:space="preserve">FLAT_TEMP= </t>
  </si>
  <si>
    <t xml:space="preserve">FN= </t>
  </si>
  <si>
    <t xml:space="preserve">FN_1= </t>
  </si>
  <si>
    <t xml:space="preserve">FN_2= </t>
  </si>
  <si>
    <t xml:space="preserve">FNK= </t>
  </si>
  <si>
    <t xml:space="preserve">FNK1= </t>
  </si>
  <si>
    <t xml:space="preserve">FNK2= </t>
  </si>
  <si>
    <t xml:space="preserve">FNK3= </t>
  </si>
  <si>
    <t xml:space="preserve">FNK3_MCd= </t>
  </si>
  <si>
    <t xml:space="preserve">FNK3_TOd= </t>
  </si>
  <si>
    <t xml:space="preserve">FNK3M= </t>
  </si>
  <si>
    <t xml:space="preserve">FNKRated= </t>
  </si>
  <si>
    <t xml:space="preserve">FNKRatedMC= </t>
  </si>
  <si>
    <t xml:space="preserve">FNKRatedTO= </t>
  </si>
  <si>
    <t xml:space="preserve">FNMrg_MCd= </t>
  </si>
  <si>
    <t xml:space="preserve">FNMrg_TOd= </t>
  </si>
  <si>
    <t xml:space="preserve">FNMrgPC= </t>
  </si>
  <si>
    <t xml:space="preserve">FPR= </t>
  </si>
  <si>
    <t xml:space="preserve">HPCPR= </t>
  </si>
  <si>
    <t xml:space="preserve">LHV= </t>
  </si>
  <si>
    <t xml:space="preserve">LPCPR= </t>
  </si>
  <si>
    <t xml:space="preserve">MOPC= </t>
  </si>
  <si>
    <t xml:space="preserve">N1_ANA= </t>
  </si>
  <si>
    <t xml:space="preserve">N1KRated= </t>
  </si>
  <si>
    <t xml:space="preserve">N1KRatedMC= </t>
  </si>
  <si>
    <t xml:space="preserve">N1KRatedTO= </t>
  </si>
  <si>
    <t xml:space="preserve">N1ModLvl= </t>
  </si>
  <si>
    <t xml:space="preserve">N1PCT= </t>
  </si>
  <si>
    <t xml:space="preserve">N1R= </t>
  </si>
  <si>
    <t xml:space="preserve">N2_ANA= </t>
  </si>
  <si>
    <t xml:space="preserve">N2CC3= </t>
  </si>
  <si>
    <t xml:space="preserve">N2CC3M= </t>
  </si>
  <si>
    <t xml:space="preserve">N2HD_MCd= </t>
  </si>
  <si>
    <t xml:space="preserve">N2HD_TOd= </t>
  </si>
  <si>
    <t xml:space="preserve">N2HDLim= </t>
  </si>
  <si>
    <t xml:space="preserve">N2HDMMrg= </t>
  </si>
  <si>
    <t xml:space="preserve">N2HDMMrg_TOd= </t>
  </si>
  <si>
    <t xml:space="preserve">N2HDMrg= </t>
  </si>
  <si>
    <t xml:space="preserve">N2HDMrg_TOd= </t>
  </si>
  <si>
    <t xml:space="preserve">N2K= </t>
  </si>
  <si>
    <t xml:space="preserve">N2K1= </t>
  </si>
  <si>
    <t xml:space="preserve">N2K2= </t>
  </si>
  <si>
    <t xml:space="preserve">N2K3= </t>
  </si>
  <si>
    <t xml:space="preserve">N2K3_MCd= </t>
  </si>
  <si>
    <t xml:space="preserve">N2K3_TOd= </t>
  </si>
  <si>
    <t xml:space="preserve">N2K3M= </t>
  </si>
  <si>
    <t xml:space="preserve">N2PCT= </t>
  </si>
  <si>
    <t xml:space="preserve">OCPR= </t>
  </si>
  <si>
    <t xml:space="preserve">P_Cell_Front= </t>
  </si>
  <si>
    <t xml:space="preserve">P_Cell_Rear= </t>
  </si>
  <si>
    <t xml:space="preserve">P25_ECU= </t>
  </si>
  <si>
    <t xml:space="preserve">PAMB= </t>
  </si>
  <si>
    <t xml:space="preserve">PBARO= </t>
  </si>
  <si>
    <t xml:space="preserve">PFUEL= </t>
  </si>
  <si>
    <t xml:space="preserve">POIL= </t>
  </si>
  <si>
    <t xml:space="preserve">PoilC= </t>
  </si>
  <si>
    <t xml:space="preserve">PS13= </t>
  </si>
  <si>
    <t xml:space="preserve">PS13_ECU= </t>
  </si>
  <si>
    <t xml:space="preserve">PS2W_1= </t>
  </si>
  <si>
    <t xml:space="preserve">PS2W_2= </t>
  </si>
  <si>
    <t xml:space="preserve">PS3= </t>
  </si>
  <si>
    <t xml:space="preserve">PSUMP= </t>
  </si>
  <si>
    <t xml:space="preserve">PT17= </t>
  </si>
  <si>
    <t xml:space="preserve">PT17LHX= </t>
  </si>
  <si>
    <t xml:space="preserve">PT17RHX= </t>
  </si>
  <si>
    <t xml:space="preserve">PT25= </t>
  </si>
  <si>
    <t xml:space="preserve">PT2Calc= </t>
  </si>
  <si>
    <t xml:space="preserve">PT495= </t>
  </si>
  <si>
    <t xml:space="preserve">PT54X= </t>
  </si>
  <si>
    <t xml:space="preserve">QECWF= </t>
  </si>
  <si>
    <t xml:space="preserve">RHUM= </t>
  </si>
  <si>
    <t xml:space="preserve">RHUM1= </t>
  </si>
  <si>
    <t xml:space="preserve">SFC_MCd= </t>
  </si>
  <si>
    <t xml:space="preserve">SFC_TOd= </t>
  </si>
  <si>
    <t xml:space="preserve">SFCK3= </t>
  </si>
  <si>
    <t xml:space="preserve">SFCMrg_TOd= </t>
  </si>
  <si>
    <t xml:space="preserve">SG= </t>
  </si>
  <si>
    <t xml:space="preserve">SGFuel= </t>
  </si>
  <si>
    <t xml:space="preserve">SPHUM_gr= </t>
  </si>
  <si>
    <t xml:space="preserve">StarterCO= </t>
  </si>
  <si>
    <t xml:space="preserve">T_Fuel_Fac= </t>
  </si>
  <si>
    <t xml:space="preserve">T12= </t>
  </si>
  <si>
    <t xml:space="preserve">T25ECU= </t>
  </si>
  <si>
    <t xml:space="preserve">T3= </t>
  </si>
  <si>
    <t xml:space="preserve">T54= </t>
  </si>
  <si>
    <t xml:space="preserve">tAcc1= </t>
  </si>
  <si>
    <t xml:space="preserve">tAcc2= </t>
  </si>
  <si>
    <t xml:space="preserve">TCQT3= </t>
  </si>
  <si>
    <t xml:space="preserve">TEOSEL= </t>
  </si>
  <si>
    <t xml:space="preserve">TPR= </t>
  </si>
  <si>
    <t xml:space="preserve">TRASEL= </t>
  </si>
  <si>
    <t xml:space="preserve">TRise= </t>
  </si>
  <si>
    <t xml:space="preserve">TT2= </t>
  </si>
  <si>
    <t xml:space="preserve">TT2_1= </t>
  </si>
  <si>
    <t xml:space="preserve">TT2_2= </t>
  </si>
  <si>
    <t xml:space="preserve">TT2_3= </t>
  </si>
  <si>
    <t xml:space="preserve">TT2_4= </t>
  </si>
  <si>
    <t xml:space="preserve">TT2_5= </t>
  </si>
  <si>
    <t xml:space="preserve">TT2_6= </t>
  </si>
  <si>
    <t xml:space="preserve">TT2_7= </t>
  </si>
  <si>
    <t xml:space="preserve">TT2_8= </t>
  </si>
  <si>
    <t xml:space="preserve">TT2_9= </t>
  </si>
  <si>
    <t xml:space="preserve">TUC_210L= </t>
  </si>
  <si>
    <t xml:space="preserve">TUC_210R= </t>
  </si>
  <si>
    <t xml:space="preserve">TUC_228L= </t>
  </si>
  <si>
    <t xml:space="preserve">TUC_228R= </t>
  </si>
  <si>
    <t xml:space="preserve">TUC_228T= </t>
  </si>
  <si>
    <t xml:space="preserve">TUC_236L= </t>
  </si>
  <si>
    <t xml:space="preserve">TUC_236R= </t>
  </si>
  <si>
    <t xml:space="preserve">TUC_236T= </t>
  </si>
  <si>
    <t xml:space="preserve">TUC_244L= </t>
  </si>
  <si>
    <t xml:space="preserve">TUC_244R= </t>
  </si>
  <si>
    <t xml:space="preserve">VBVSEL= </t>
  </si>
  <si>
    <t xml:space="preserve">Vib1N1Pk= </t>
  </si>
  <si>
    <t xml:space="preserve">Vib1N1PkD= </t>
  </si>
  <si>
    <t xml:space="preserve">Vib1N2Pk= </t>
  </si>
  <si>
    <t xml:space="preserve">Vib1N2PkD= </t>
  </si>
  <si>
    <t xml:space="preserve">Vib2N1Pk= </t>
  </si>
  <si>
    <t xml:space="preserve">Vib2N1PkD= </t>
  </si>
  <si>
    <t xml:space="preserve">Vib2N2Pk= </t>
  </si>
  <si>
    <t xml:space="preserve">Vib2N2PkD= </t>
  </si>
  <si>
    <t xml:space="preserve">VibDReset= </t>
  </si>
  <si>
    <t xml:space="preserve">VIBFFCCN1LIM= </t>
  </si>
  <si>
    <t xml:space="preserve">VIBFFCCN2LIM= </t>
  </si>
  <si>
    <t xml:space="preserve">VibReset= </t>
  </si>
  <si>
    <t xml:space="preserve">VSVSEL= </t>
  </si>
  <si>
    <t xml:space="preserve">W2AR= </t>
  </si>
  <si>
    <t xml:space="preserve">W2K1= </t>
  </si>
  <si>
    <t xml:space="preserve">W2K3= </t>
  </si>
  <si>
    <t xml:space="preserve">W2R2ACT= </t>
  </si>
  <si>
    <t xml:space="preserve">WF= </t>
  </si>
  <si>
    <t xml:space="preserve">KShunt2= </t>
  </si>
  <si>
    <t xml:space="preserve">tRunning_= </t>
  </si>
  <si>
    <t xml:space="preserve">tRunning=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</si>
</sst>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[$-409]d\-mmm\-yy;@"/>
    <numFmt numFmtId="167" formatCode="h:mm;@"/>
    <numFmt numFmtId="168" formatCode="[$-409]dd\-mmm\-yy;@"/>
    <numFmt numFmtId="169" formatCode="[$-409]mmmm\ d\,\ yyyy;@"/>
    <numFmt numFmtId="170" formatCode="[$-F400]h:mm:ss\ AM/PM"/>
  </numFmts>
  <fonts count="38" x14ac:knownFonts="1"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10"/>
      <name val="Arial"/>
      <family val="2"/>
      <charset val="204"/>
    </font>
    <font>
      <sz val="12"/>
      <name val="Arial"/>
      <family val="2"/>
    </font>
    <font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2"/>
      <name val="Arial"/>
      <family val="2"/>
    </font>
    <font>
      <sz val="10"/>
      <color indexed="12"/>
      <name val="Arial"/>
      <family val="2"/>
    </font>
    <font>
      <sz val="12"/>
      <color indexed="12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u/>
      <sz val="14"/>
      <name val="Arial"/>
      <family val="2"/>
    </font>
    <font>
      <sz val="11"/>
      <name val="Arial"/>
      <family val="2"/>
    </font>
    <font>
      <b/>
      <i/>
      <sz val="10"/>
      <name val="Arial"/>
      <family val="2"/>
    </font>
    <font>
      <i/>
      <sz val="9"/>
      <name val="Arial"/>
      <family val="2"/>
    </font>
    <font>
      <sz val="10.5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7"/>
      <name val="Arial"/>
      <family val="2"/>
    </font>
    <font>
      <sz val="11"/>
      <color indexed="12"/>
      <name val="Arial"/>
      <family val="2"/>
    </font>
    <font>
      <b/>
      <sz val="18"/>
      <name val="Arial"/>
      <family val="2"/>
    </font>
    <font>
      <b/>
      <sz val="11"/>
      <color indexed="8"/>
      <name val="Calibri"/>
      <family val="2"/>
    </font>
    <font>
      <sz val="14"/>
      <name val="Arial"/>
      <family val="2"/>
    </font>
    <font>
      <b/>
      <sz val="12"/>
      <color indexed="8"/>
      <name val="Calibri"/>
      <family val="2"/>
    </font>
    <font>
      <b/>
      <sz val="9"/>
      <name val="Arial"/>
      <family val="2"/>
    </font>
    <font>
      <b/>
      <sz val="10"/>
      <name val="Calibri"/>
      <family val="2"/>
    </font>
    <font>
      <b/>
      <sz val="11"/>
      <name val="Calibri"/>
      <family val="2"/>
    </font>
    <font>
      <i/>
      <sz val="8"/>
      <name val="Arial"/>
      <family val="2"/>
    </font>
    <font>
      <i/>
      <sz val="22"/>
      <name val="Arial"/>
      <family val="2"/>
    </font>
    <font>
      <b/>
      <sz val="10"/>
      <color indexed="8"/>
      <name val="Calibri"/>
      <family val="2"/>
    </font>
    <font>
      <b/>
      <sz val="10"/>
      <color theme="0"/>
      <name val="Arial"/>
      <family val="2"/>
    </font>
    <font>
      <sz val="12"/>
      <color theme="0"/>
      <name val="Calibri"/>
      <family val="2"/>
    </font>
    <font>
      <sz val="10"/>
      <color theme="0"/>
      <name val="Calibri"/>
      <family val="2"/>
    </font>
    <font>
      <sz val="11"/>
      <color theme="0"/>
      <name val="Arial"/>
      <family val="2"/>
    </font>
    <font>
      <sz val="16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12">
    <border>
      <left/>
      <right/>
      <top/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/>
      <right style="thin">
        <color indexed="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hair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7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0" borderId="0" xfId="0" applyFont="1"/>
    <xf numFmtId="22" fontId="3" fillId="0" borderId="0" xfId="0" applyNumberFormat="1" applyFont="1"/>
    <xf numFmtId="0" fontId="0" fillId="3" borderId="1" xfId="0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0" fillId="3" borderId="3" xfId="0" applyFill="1" applyBorder="1"/>
    <xf numFmtId="0" fontId="5" fillId="0" borderId="4" xfId="0" applyFont="1" applyFill="1" applyBorder="1"/>
    <xf numFmtId="0" fontId="6" fillId="0" borderId="0" xfId="0" applyFont="1"/>
    <xf numFmtId="0" fontId="6" fillId="0" borderId="0" xfId="0" applyFont="1" applyAlignment="1">
      <alignment horizontal="center"/>
    </xf>
    <xf numFmtId="0" fontId="9" fillId="3" borderId="5" xfId="0" applyFont="1" applyFill="1" applyBorder="1" applyAlignment="1">
      <alignment horizontal="left"/>
    </xf>
    <xf numFmtId="0" fontId="6" fillId="3" borderId="6" xfId="0" applyFont="1" applyFill="1" applyBorder="1" applyAlignment="1">
      <alignment horizontal="left"/>
    </xf>
    <xf numFmtId="0" fontId="6" fillId="3" borderId="3" xfId="0" applyFont="1" applyFill="1" applyBorder="1" applyAlignment="1">
      <alignment horizontal="left"/>
    </xf>
    <xf numFmtId="0" fontId="10" fillId="0" borderId="0" xfId="0" applyFont="1" applyFill="1"/>
    <xf numFmtId="0" fontId="10" fillId="0" borderId="0" xfId="0" applyFont="1"/>
    <xf numFmtId="2" fontId="10" fillId="0" borderId="0" xfId="0" applyNumberFormat="1" applyFont="1" applyFill="1"/>
    <xf numFmtId="0" fontId="11" fillId="0" borderId="0" xfId="0" applyFont="1"/>
    <xf numFmtId="0" fontId="7" fillId="3" borderId="5" xfId="0" applyFont="1" applyFill="1" applyBorder="1"/>
    <xf numFmtId="0" fontId="0" fillId="0" borderId="0" xfId="0" applyAlignment="1">
      <alignment horizontal="right"/>
    </xf>
    <xf numFmtId="0" fontId="7" fillId="3" borderId="5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5" fillId="3" borderId="0" xfId="0" applyFont="1" applyFill="1" applyBorder="1"/>
    <xf numFmtId="0" fontId="5" fillId="3" borderId="0" xfId="0" applyFont="1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5" fillId="3" borderId="8" xfId="0" applyFont="1" applyFill="1" applyBorder="1"/>
    <xf numFmtId="0" fontId="8" fillId="0" borderId="4" xfId="0" applyFont="1" applyFill="1" applyBorder="1"/>
    <xf numFmtId="0" fontId="7" fillId="0" borderId="4" xfId="0" applyFont="1" applyFill="1" applyBorder="1"/>
    <xf numFmtId="0" fontId="5" fillId="0" borderId="0" xfId="0" applyFont="1" applyFill="1" applyBorder="1" applyAlignment="1"/>
    <xf numFmtId="0" fontId="5" fillId="0" borderId="0" xfId="0" applyFont="1" applyFill="1" applyBorder="1"/>
    <xf numFmtId="0" fontId="5" fillId="0" borderId="0" xfId="0" applyFont="1" applyFill="1" applyBorder="1" applyAlignment="1">
      <alignment horizontal="right"/>
    </xf>
    <xf numFmtId="0" fontId="5" fillId="0" borderId="0" xfId="0" applyFont="1" applyFill="1" applyBorder="1" applyAlignment="1">
      <alignment horizontal="left"/>
    </xf>
    <xf numFmtId="0" fontId="5" fillId="0" borderId="4" xfId="0" applyFont="1" applyFill="1" applyBorder="1" applyAlignment="1"/>
    <xf numFmtId="0" fontId="0" fillId="0" borderId="0" xfId="0" applyFill="1" applyBorder="1"/>
    <xf numFmtId="0" fontId="0" fillId="0" borderId="0" xfId="0" applyFill="1"/>
    <xf numFmtId="0" fontId="12" fillId="0" borderId="0" xfId="0" applyFont="1"/>
    <xf numFmtId="2" fontId="11" fillId="0" borderId="0" xfId="0" applyNumberFormat="1" applyFont="1" applyFill="1"/>
    <xf numFmtId="1" fontId="11" fillId="0" borderId="0" xfId="0" applyNumberFormat="1" applyFont="1" applyFill="1" applyProtection="1">
      <protection locked="0"/>
    </xf>
    <xf numFmtId="166" fontId="6" fillId="3" borderId="6" xfId="0" applyNumberFormat="1" applyFont="1" applyFill="1" applyBorder="1" applyAlignment="1">
      <alignment horizontal="left"/>
    </xf>
    <xf numFmtId="0" fontId="6" fillId="0" borderId="0" xfId="0" applyFont="1" applyFill="1" applyAlignment="1" applyProtection="1">
      <alignment horizontal="left"/>
    </xf>
    <xf numFmtId="0" fontId="0" fillId="4" borderId="0" xfId="0" applyFill="1"/>
    <xf numFmtId="0" fontId="13" fillId="3" borderId="0" xfId="0" applyFont="1" applyFill="1" applyAlignment="1"/>
    <xf numFmtId="0" fontId="13" fillId="4" borderId="0" xfId="0" applyFont="1" applyFill="1" applyBorder="1" applyAlignment="1"/>
    <xf numFmtId="0" fontId="15" fillId="3" borderId="0" xfId="0" applyFont="1" applyFill="1"/>
    <xf numFmtId="0" fontId="0" fillId="3" borderId="0" xfId="0" applyFill="1" applyBorder="1"/>
    <xf numFmtId="0" fontId="15" fillId="3" borderId="0" xfId="0" applyFont="1" applyFill="1" applyBorder="1"/>
    <xf numFmtId="0" fontId="19" fillId="4" borderId="9" xfId="0" applyFont="1" applyFill="1" applyBorder="1" applyAlignment="1">
      <alignment horizontal="center" wrapText="1"/>
    </xf>
    <xf numFmtId="0" fontId="19" fillId="4" borderId="10" xfId="0" applyFont="1" applyFill="1" applyBorder="1" applyAlignment="1">
      <alignment horizontal="center" wrapText="1"/>
    </xf>
    <xf numFmtId="0" fontId="15" fillId="4" borderId="11" xfId="0" applyFont="1" applyFill="1" applyBorder="1" applyAlignment="1">
      <alignment horizontal="center" vertical="top" wrapText="1"/>
    </xf>
    <xf numFmtId="0" fontId="15" fillId="4" borderId="12" xfId="0" applyFont="1" applyFill="1" applyBorder="1" applyAlignment="1">
      <alignment horizontal="center" vertical="top" wrapText="1"/>
    </xf>
    <xf numFmtId="0" fontId="19" fillId="4" borderId="12" xfId="0" applyFont="1" applyFill="1" applyBorder="1" applyAlignment="1">
      <alignment horizontal="center" vertical="top" wrapText="1"/>
    </xf>
    <xf numFmtId="0" fontId="19" fillId="4" borderId="13" xfId="0" applyFont="1" applyFill="1" applyBorder="1" applyAlignment="1">
      <alignment horizontal="center" vertical="top" wrapText="1"/>
    </xf>
    <xf numFmtId="0" fontId="15" fillId="4" borderId="14" xfId="0" applyFont="1" applyFill="1" applyBorder="1" applyAlignment="1">
      <alignment horizontal="center"/>
    </xf>
    <xf numFmtId="0" fontId="15" fillId="3" borderId="15" xfId="0" applyFont="1" applyFill="1" applyBorder="1" applyAlignment="1"/>
    <xf numFmtId="1" fontId="15" fillId="0" borderId="16" xfId="0" applyNumberFormat="1" applyFont="1" applyBorder="1" applyAlignment="1">
      <alignment horizontal="center"/>
    </xf>
    <xf numFmtId="0" fontId="15" fillId="4" borderId="17" xfId="0" applyFont="1" applyFill="1" applyBorder="1" applyAlignment="1">
      <alignment horizontal="center"/>
    </xf>
    <xf numFmtId="0" fontId="15" fillId="0" borderId="18" xfId="0" applyFont="1" applyFill="1" applyBorder="1" applyAlignment="1"/>
    <xf numFmtId="164" fontId="15" fillId="0" borderId="19" xfId="0" applyNumberFormat="1" applyFont="1" applyBorder="1" applyAlignment="1">
      <alignment horizontal="center"/>
    </xf>
    <xf numFmtId="0" fontId="0" fillId="0" borderId="0" xfId="0" applyBorder="1"/>
    <xf numFmtId="0" fontId="15" fillId="4" borderId="0" xfId="0" applyFont="1" applyFill="1" applyBorder="1" applyAlignment="1">
      <alignment horizontal="center"/>
    </xf>
    <xf numFmtId="1" fontId="15" fillId="4" borderId="0" xfId="0" applyNumberFormat="1" applyFont="1" applyFill="1" applyBorder="1" applyAlignment="1">
      <alignment horizontal="center"/>
    </xf>
    <xf numFmtId="164" fontId="15" fillId="4" borderId="0" xfId="0" applyNumberFormat="1" applyFont="1" applyFill="1" applyBorder="1" applyAlignment="1">
      <alignment horizontal="center"/>
    </xf>
    <xf numFmtId="0" fontId="15" fillId="0" borderId="20" xfId="0" applyFont="1" applyBorder="1" applyAlignment="1">
      <alignment horizontal="center"/>
    </xf>
    <xf numFmtId="0" fontId="15" fillId="0" borderId="21" xfId="0" applyFont="1" applyBorder="1" applyAlignment="1">
      <alignment horizontal="center"/>
    </xf>
    <xf numFmtId="2" fontId="19" fillId="0" borderId="16" xfId="0" applyNumberFormat="1" applyFont="1" applyBorder="1" applyAlignment="1">
      <alignment horizontal="center"/>
    </xf>
    <xf numFmtId="0" fontId="19" fillId="3" borderId="6" xfId="0" applyFont="1" applyFill="1" applyBorder="1"/>
    <xf numFmtId="0" fontId="19" fillId="3" borderId="17" xfId="0" applyFont="1" applyFill="1" applyBorder="1" applyAlignment="1">
      <alignment horizontal="center"/>
    </xf>
    <xf numFmtId="0" fontId="15" fillId="0" borderId="0" xfId="0" applyFont="1" applyFill="1" applyBorder="1"/>
    <xf numFmtId="2" fontId="19" fillId="0" borderId="16" xfId="0" applyNumberFormat="1" applyFont="1" applyBorder="1" applyAlignment="1" applyProtection="1">
      <alignment horizontal="center"/>
      <protection locked="0"/>
    </xf>
    <xf numFmtId="164" fontId="19" fillId="0" borderId="16" xfId="0" applyNumberFormat="1" applyFont="1" applyBorder="1" applyAlignment="1">
      <alignment horizontal="center"/>
    </xf>
    <xf numFmtId="165" fontId="19" fillId="0" borderId="16" xfId="0" applyNumberFormat="1" applyFont="1" applyBorder="1" applyAlignment="1">
      <alignment horizontal="center"/>
    </xf>
    <xf numFmtId="0" fontId="19" fillId="0" borderId="10" xfId="0" applyFont="1" applyFill="1" applyBorder="1" applyAlignment="1"/>
    <xf numFmtId="1" fontId="19" fillId="0" borderId="16" xfId="0" applyNumberFormat="1" applyFont="1" applyBorder="1" applyAlignment="1">
      <alignment horizontal="center"/>
    </xf>
    <xf numFmtId="0" fontId="15" fillId="4" borderId="18" xfId="0" applyFont="1" applyFill="1" applyBorder="1" applyAlignment="1">
      <alignment horizontal="center"/>
    </xf>
    <xf numFmtId="0" fontId="15" fillId="4" borderId="13" xfId="0" applyFont="1" applyFill="1" applyBorder="1" applyAlignment="1">
      <alignment horizontal="center"/>
    </xf>
    <xf numFmtId="0" fontId="15" fillId="0" borderId="22" xfId="0" applyFont="1" applyBorder="1" applyAlignment="1">
      <alignment horizontal="center"/>
    </xf>
    <xf numFmtId="0" fontId="19" fillId="3" borderId="5" xfId="0" applyFont="1" applyFill="1" applyBorder="1" applyAlignment="1" applyProtection="1">
      <alignment horizontal="center"/>
      <protection locked="0"/>
    </xf>
    <xf numFmtId="0" fontId="19" fillId="4" borderId="0" xfId="0" applyFont="1" applyFill="1" applyBorder="1"/>
    <xf numFmtId="0" fontId="12" fillId="4" borderId="0" xfId="0" applyFont="1" applyFill="1" applyBorder="1"/>
    <xf numFmtId="0" fontId="19" fillId="3" borderId="0" xfId="0" applyFont="1" applyFill="1" applyBorder="1" applyAlignment="1"/>
    <xf numFmtId="1" fontId="19" fillId="0" borderId="0" xfId="0" applyNumberFormat="1" applyFont="1" applyBorder="1" applyAlignment="1">
      <alignment horizontal="center"/>
    </xf>
    <xf numFmtId="0" fontId="19" fillId="3" borderId="0" xfId="0" applyFont="1" applyFill="1" applyBorder="1" applyAlignment="1">
      <alignment horizontal="left"/>
    </xf>
    <xf numFmtId="0" fontId="19" fillId="3" borderId="0" xfId="0" applyFont="1" applyFill="1" applyBorder="1" applyAlignment="1">
      <alignment horizontal="right"/>
    </xf>
    <xf numFmtId="0" fontId="15" fillId="4" borderId="23" xfId="0" applyFont="1" applyFill="1" applyBorder="1" applyAlignment="1">
      <alignment horizontal="center"/>
    </xf>
    <xf numFmtId="0" fontId="15" fillId="4" borderId="14" xfId="0" applyFont="1" applyFill="1" applyBorder="1" applyAlignment="1"/>
    <xf numFmtId="164" fontId="15" fillId="0" borderId="24" xfId="0" applyNumberFormat="1" applyFont="1" applyBorder="1" applyAlignment="1">
      <alignment horizontal="center"/>
    </xf>
    <xf numFmtId="0" fontId="15" fillId="3" borderId="25" xfId="0" applyFont="1" applyFill="1" applyBorder="1" applyAlignment="1"/>
    <xf numFmtId="0" fontId="16" fillId="4" borderId="26" xfId="0" applyFont="1" applyFill="1" applyBorder="1" applyAlignment="1">
      <alignment horizontal="left"/>
    </xf>
    <xf numFmtId="0" fontId="16" fillId="4" borderId="5" xfId="0" applyFont="1" applyFill="1" applyBorder="1" applyAlignment="1">
      <alignment horizontal="left"/>
    </xf>
    <xf numFmtId="1" fontId="15" fillId="0" borderId="17" xfId="0" applyNumberFormat="1" applyFont="1" applyBorder="1" applyAlignment="1">
      <alignment horizontal="center"/>
    </xf>
    <xf numFmtId="0" fontId="19" fillId="3" borderId="27" xfId="0" applyFont="1" applyFill="1" applyBorder="1" applyAlignment="1"/>
    <xf numFmtId="0" fontId="19" fillId="3" borderId="28" xfId="0" applyFont="1" applyFill="1" applyBorder="1" applyAlignment="1" applyProtection="1">
      <alignment horizontal="center"/>
      <protection locked="0"/>
    </xf>
    <xf numFmtId="1" fontId="19" fillId="0" borderId="29" xfId="0" applyNumberFormat="1" applyFont="1" applyBorder="1" applyAlignment="1">
      <alignment horizontal="center"/>
    </xf>
    <xf numFmtId="0" fontId="0" fillId="0" borderId="27" xfId="0" applyBorder="1"/>
    <xf numFmtId="0" fontId="6" fillId="0" borderId="27" xfId="0" applyFont="1" applyBorder="1"/>
    <xf numFmtId="0" fontId="12" fillId="0" borderId="0" xfId="0" applyFont="1" applyAlignment="1">
      <alignment horizontal="right"/>
    </xf>
    <xf numFmtId="0" fontId="22" fillId="0" borderId="0" xfId="0" applyFont="1"/>
    <xf numFmtId="1" fontId="22" fillId="0" borderId="0" xfId="0" applyNumberFormat="1" applyFont="1" applyFill="1" applyAlignment="1">
      <alignment horizontal="right"/>
    </xf>
    <xf numFmtId="1" fontId="22" fillId="0" borderId="0" xfId="0" applyNumberFormat="1" applyFont="1"/>
    <xf numFmtId="2" fontId="22" fillId="0" borderId="0" xfId="0" applyNumberFormat="1" applyFont="1" applyFill="1"/>
    <xf numFmtId="2" fontId="22" fillId="0" borderId="0" xfId="0" applyNumberFormat="1" applyFont="1"/>
    <xf numFmtId="2" fontId="22" fillId="0" borderId="0" xfId="0" applyNumberFormat="1" applyFont="1" applyAlignment="1">
      <alignment horizontal="right"/>
    </xf>
    <xf numFmtId="0" fontId="15" fillId="0" borderId="0" xfId="0" applyFont="1"/>
    <xf numFmtId="0" fontId="10" fillId="0" borderId="0" xfId="0" applyFont="1" applyAlignment="1">
      <alignment horizontal="right"/>
    </xf>
    <xf numFmtId="0" fontId="22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166" fontId="15" fillId="0" borderId="0" xfId="0" applyNumberFormat="1" applyFont="1" applyFill="1"/>
    <xf numFmtId="166" fontId="15" fillId="0" borderId="0" xfId="0" applyNumberFormat="1" applyFont="1" applyFill="1" applyAlignment="1">
      <alignment horizontal="right"/>
    </xf>
    <xf numFmtId="167" fontId="15" fillId="0" borderId="0" xfId="0" applyNumberFormat="1" applyFont="1" applyFill="1"/>
    <xf numFmtId="167" fontId="15" fillId="0" borderId="0" xfId="0" applyNumberFormat="1" applyFont="1" applyFill="1" applyAlignment="1">
      <alignment horizontal="right"/>
    </xf>
    <xf numFmtId="1" fontId="11" fillId="0" borderId="0" xfId="0" applyNumberFormat="1" applyFont="1" applyFill="1"/>
    <xf numFmtId="1" fontId="11" fillId="0" borderId="0" xfId="0" applyNumberFormat="1" applyFont="1" applyFill="1" applyAlignment="1">
      <alignment horizontal="right"/>
    </xf>
    <xf numFmtId="1" fontId="11" fillId="0" borderId="0" xfId="0" applyNumberFormat="1" applyFont="1" applyAlignment="1">
      <alignment horizontal="right"/>
    </xf>
    <xf numFmtId="1" fontId="11" fillId="0" borderId="0" xfId="0" applyNumberFormat="1" applyFont="1"/>
    <xf numFmtId="2" fontId="11" fillId="0" borderId="0" xfId="0" applyNumberFormat="1" applyFont="1"/>
    <xf numFmtId="164" fontId="11" fillId="0" borderId="0" xfId="0" applyNumberFormat="1" applyFont="1"/>
    <xf numFmtId="2" fontId="11" fillId="0" borderId="0" xfId="0" applyNumberFormat="1" applyFont="1" applyAlignment="1">
      <alignment horizontal="right"/>
    </xf>
    <xf numFmtId="165" fontId="11" fillId="0" borderId="0" xfId="0" applyNumberFormat="1" applyFont="1"/>
    <xf numFmtId="2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Alignment="1" applyProtection="1">
      <alignment horizontal="center"/>
      <protection locked="0"/>
    </xf>
    <xf numFmtId="0" fontId="11" fillId="0" borderId="0" xfId="0" applyFont="1" applyAlignment="1" applyProtection="1">
      <alignment horizontal="center"/>
      <protection locked="0"/>
    </xf>
    <xf numFmtId="0" fontId="11" fillId="0" borderId="0" xfId="0" applyFont="1" applyAlignment="1">
      <alignment horizontal="center"/>
    </xf>
    <xf numFmtId="1" fontId="11" fillId="0" borderId="0" xfId="0" applyNumberFormat="1" applyFont="1" applyFill="1" applyAlignment="1" applyProtection="1">
      <alignment horizontal="center"/>
      <protection locked="0"/>
    </xf>
    <xf numFmtId="2" fontId="22" fillId="0" borderId="0" xfId="0" applyNumberFormat="1" applyFont="1" applyFill="1" applyAlignment="1">
      <alignment horizontal="right"/>
    </xf>
    <xf numFmtId="165" fontId="22" fillId="0" borderId="0" xfId="0" applyNumberFormat="1" applyFont="1" applyFill="1" applyAlignment="1">
      <alignment horizontal="right"/>
    </xf>
    <xf numFmtId="165" fontId="22" fillId="0" borderId="0" xfId="0" applyNumberFormat="1" applyFont="1" applyFill="1"/>
    <xf numFmtId="0" fontId="15" fillId="0" borderId="0" xfId="0" applyFont="1" applyAlignment="1">
      <alignment horizontal="center"/>
    </xf>
    <xf numFmtId="0" fontId="9" fillId="3" borderId="0" xfId="0" applyFont="1" applyFill="1" applyBorder="1" applyAlignment="1">
      <alignment horizontal="left"/>
    </xf>
    <xf numFmtId="0" fontId="9" fillId="3" borderId="0" xfId="0" applyFont="1" applyFill="1" applyBorder="1" applyAlignment="1">
      <alignment horizontal="center"/>
    </xf>
    <xf numFmtId="0" fontId="9" fillId="3" borderId="0" xfId="0" applyFont="1" applyFill="1" applyBorder="1" applyAlignment="1">
      <alignment horizontal="right"/>
    </xf>
    <xf numFmtId="165" fontId="11" fillId="0" borderId="0" xfId="0" applyNumberFormat="1" applyFont="1" applyFill="1"/>
    <xf numFmtId="165" fontId="11" fillId="0" borderId="0" xfId="0" applyNumberFormat="1" applyFont="1" applyFill="1" applyAlignment="1">
      <alignment horizontal="right"/>
    </xf>
    <xf numFmtId="1" fontId="22" fillId="0" borderId="0" xfId="0" applyNumberFormat="1" applyFont="1" applyFill="1"/>
    <xf numFmtId="1" fontId="22" fillId="0" borderId="0" xfId="0" applyNumberFormat="1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165" fontId="12" fillId="0" borderId="0" xfId="0" applyNumberFormat="1" applyFont="1"/>
    <xf numFmtId="0" fontId="0" fillId="4" borderId="30" xfId="0" applyFill="1" applyBorder="1"/>
    <xf numFmtId="0" fontId="0" fillId="4" borderId="31" xfId="0" applyFill="1" applyBorder="1"/>
    <xf numFmtId="0" fontId="0" fillId="4" borderId="32" xfId="0" applyFill="1" applyBorder="1"/>
    <xf numFmtId="0" fontId="0" fillId="4" borderId="33" xfId="0" applyFill="1" applyBorder="1"/>
    <xf numFmtId="0" fontId="0" fillId="4" borderId="0" xfId="0" applyFill="1" applyBorder="1"/>
    <xf numFmtId="0" fontId="25" fillId="4" borderId="0" xfId="0" applyFont="1" applyFill="1" applyBorder="1"/>
    <xf numFmtId="0" fontId="1" fillId="4" borderId="0" xfId="0" applyFont="1" applyFill="1" applyBorder="1" applyAlignment="1">
      <alignment horizontal="right"/>
    </xf>
    <xf numFmtId="0" fontId="12" fillId="4" borderId="0" xfId="0" applyFont="1" applyFill="1" applyBorder="1" applyAlignment="1">
      <alignment horizontal="left"/>
    </xf>
    <xf numFmtId="0" fontId="3" fillId="4" borderId="0" xfId="0" applyFont="1" applyFill="1" applyBorder="1" applyAlignment="1">
      <alignment vertical="top"/>
    </xf>
    <xf numFmtId="0" fontId="0" fillId="4" borderId="34" xfId="0" applyFill="1" applyBorder="1"/>
    <xf numFmtId="0" fontId="1" fillId="4" borderId="0" xfId="0" applyFont="1" applyFill="1" applyBorder="1" applyAlignment="1"/>
    <xf numFmtId="0" fontId="12" fillId="4" borderId="0" xfId="0" applyFont="1" applyFill="1" applyBorder="1" applyAlignment="1">
      <alignment horizontal="right"/>
    </xf>
    <xf numFmtId="0" fontId="0" fillId="4" borderId="35" xfId="0" applyFill="1" applyBorder="1"/>
    <xf numFmtId="0" fontId="0" fillId="4" borderId="36" xfId="0" applyFill="1" applyBorder="1"/>
    <xf numFmtId="0" fontId="0" fillId="4" borderId="19" xfId="0" applyFill="1" applyBorder="1"/>
    <xf numFmtId="0" fontId="6" fillId="4" borderId="0" xfId="0" applyFont="1" applyFill="1" applyBorder="1" applyAlignment="1">
      <alignment horizontal="center"/>
    </xf>
    <xf numFmtId="0" fontId="20" fillId="4" borderId="0" xfId="0" applyFont="1" applyFill="1" applyBorder="1" applyAlignment="1"/>
    <xf numFmtId="0" fontId="20" fillId="4" borderId="0" xfId="0" applyFont="1" applyFill="1" applyBorder="1" applyAlignment="1">
      <alignment horizontal="center"/>
    </xf>
    <xf numFmtId="0" fontId="26" fillId="4" borderId="0" xfId="0" applyFont="1" applyFill="1" applyBorder="1" applyAlignment="1">
      <alignment vertical="top"/>
    </xf>
    <xf numFmtId="0" fontId="0" fillId="4" borderId="37" xfId="0" applyFill="1" applyBorder="1"/>
    <xf numFmtId="0" fontId="0" fillId="4" borderId="38" xfId="0" applyFill="1" applyBorder="1"/>
    <xf numFmtId="0" fontId="26" fillId="4" borderId="0" xfId="0" applyFont="1" applyFill="1" applyBorder="1" applyAlignment="1">
      <alignment horizontal="left" vertical="top"/>
    </xf>
    <xf numFmtId="0" fontId="26" fillId="4" borderId="37" xfId="0" applyFont="1" applyFill="1" applyBorder="1" applyAlignment="1">
      <alignment vertical="top"/>
    </xf>
    <xf numFmtId="0" fontId="1" fillId="4" borderId="0" xfId="0" applyFont="1" applyFill="1" applyBorder="1"/>
    <xf numFmtId="0" fontId="19" fillId="4" borderId="0" xfId="0" applyFont="1" applyFill="1" applyBorder="1" applyAlignment="1">
      <alignment horizontal="center"/>
    </xf>
    <xf numFmtId="0" fontId="0" fillId="4" borderId="39" xfId="0" applyFill="1" applyBorder="1"/>
    <xf numFmtId="0" fontId="0" fillId="4" borderId="40" xfId="0" applyFill="1" applyBorder="1" applyAlignment="1">
      <alignment vertical="center"/>
    </xf>
    <xf numFmtId="0" fontId="33" fillId="4" borderId="41" xfId="0" applyFont="1" applyFill="1" applyBorder="1" applyAlignment="1">
      <alignment horizontal="center"/>
    </xf>
    <xf numFmtId="2" fontId="0" fillId="4" borderId="0" xfId="0" applyNumberFormat="1" applyFill="1" applyBorder="1"/>
    <xf numFmtId="0" fontId="27" fillId="4" borderId="0" xfId="0" applyFont="1" applyFill="1" applyBorder="1"/>
    <xf numFmtId="0" fontId="12" fillId="4" borderId="38" xfId="0" applyFont="1" applyFill="1" applyBorder="1"/>
    <xf numFmtId="0" fontId="0" fillId="4" borderId="40" xfId="0" applyFill="1" applyBorder="1"/>
    <xf numFmtId="0" fontId="0" fillId="4" borderId="0" xfId="0" applyFill="1" applyBorder="1" applyAlignment="1"/>
    <xf numFmtId="0" fontId="27" fillId="4" borderId="38" xfId="0" applyFont="1" applyFill="1" applyBorder="1"/>
    <xf numFmtId="0" fontId="1" fillId="4" borderId="39" xfId="0" applyFont="1" applyFill="1" applyBorder="1" applyAlignment="1">
      <alignment horizontal="center"/>
    </xf>
    <xf numFmtId="0" fontId="1" fillId="4" borderId="39" xfId="0" applyFont="1" applyFill="1" applyBorder="1" applyAlignment="1"/>
    <xf numFmtId="0" fontId="0" fillId="4" borderId="39" xfId="0" applyFill="1" applyBorder="1" applyAlignment="1"/>
    <xf numFmtId="0" fontId="1" fillId="4" borderId="39" xfId="0" applyFont="1" applyFill="1" applyBorder="1"/>
    <xf numFmtId="0" fontId="0" fillId="4" borderId="42" xfId="0" applyFill="1" applyBorder="1"/>
    <xf numFmtId="0" fontId="0" fillId="4" borderId="43" xfId="0" applyFill="1" applyBorder="1"/>
    <xf numFmtId="2" fontId="0" fillId="4" borderId="39" xfId="0" applyNumberFormat="1" applyFill="1" applyBorder="1"/>
    <xf numFmtId="0" fontId="27" fillId="4" borderId="39" xfId="0" applyFont="1" applyFill="1" applyBorder="1"/>
    <xf numFmtId="0" fontId="27" fillId="4" borderId="42" xfId="0" applyFont="1" applyFill="1" applyBorder="1"/>
    <xf numFmtId="0" fontId="0" fillId="4" borderId="44" xfId="0" applyFill="1" applyBorder="1"/>
    <xf numFmtId="165" fontId="0" fillId="4" borderId="0" xfId="0" applyNumberFormat="1" applyFill="1" applyBorder="1"/>
    <xf numFmtId="0" fontId="27" fillId="4" borderId="45" xfId="0" applyFont="1" applyFill="1" applyBorder="1"/>
    <xf numFmtId="0" fontId="0" fillId="4" borderId="46" xfId="0" applyFill="1" applyBorder="1"/>
    <xf numFmtId="0" fontId="0" fillId="4" borderId="45" xfId="0" applyFill="1" applyBorder="1"/>
    <xf numFmtId="0" fontId="12" fillId="4" borderId="0" xfId="0" applyFont="1" applyFill="1" applyBorder="1" applyAlignment="1">
      <alignment horizontal="right" vertical="center"/>
    </xf>
    <xf numFmtId="0" fontId="1" fillId="4" borderId="0" xfId="0" applyFont="1" applyFill="1" applyBorder="1" applyAlignment="1">
      <alignment horizontal="left"/>
    </xf>
    <xf numFmtId="0" fontId="25" fillId="4" borderId="0" xfId="0" applyFont="1" applyFill="1" applyBorder="1" applyAlignment="1">
      <alignment horizontal="center" vertical="center"/>
    </xf>
    <xf numFmtId="0" fontId="1" fillId="4" borderId="27" xfId="0" applyFont="1" applyFill="1" applyBorder="1" applyAlignment="1"/>
    <xf numFmtId="0" fontId="0" fillId="4" borderId="27" xfId="0" applyFill="1" applyBorder="1" applyAlignment="1">
      <alignment horizontal="center"/>
    </xf>
    <xf numFmtId="0" fontId="0" fillId="4" borderId="27" xfId="0" applyFill="1" applyBorder="1"/>
    <xf numFmtId="0" fontId="0" fillId="4" borderId="47" xfId="0" applyFill="1" applyBorder="1"/>
    <xf numFmtId="0" fontId="0" fillId="4" borderId="47" xfId="0" applyFill="1" applyBorder="1" applyAlignment="1">
      <alignment horizontal="center"/>
    </xf>
    <xf numFmtId="0" fontId="29" fillId="4" borderId="47" xfId="0" applyFont="1" applyFill="1" applyBorder="1" applyAlignment="1">
      <alignment horizontal="center" vertical="center"/>
    </xf>
    <xf numFmtId="0" fontId="1" fillId="4" borderId="47" xfId="0" applyFont="1" applyFill="1" applyBorder="1"/>
    <xf numFmtId="0" fontId="0" fillId="4" borderId="0" xfId="0" applyFill="1" applyBorder="1" applyAlignment="1">
      <alignment horizontal="center"/>
    </xf>
    <xf numFmtId="0" fontId="29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/>
    </xf>
    <xf numFmtId="0" fontId="12" fillId="4" borderId="0" xfId="0" applyFont="1" applyFill="1" applyBorder="1" applyAlignment="1"/>
    <xf numFmtId="0" fontId="12" fillId="4" borderId="36" xfId="0" applyFont="1" applyFill="1" applyBorder="1" applyAlignment="1">
      <alignment horizontal="left"/>
    </xf>
    <xf numFmtId="0" fontId="0" fillId="4" borderId="0" xfId="0" applyFill="1" applyBorder="1" applyAlignment="1">
      <alignment horizontal="right"/>
    </xf>
    <xf numFmtId="16" fontId="19" fillId="4" borderId="0" xfId="0" quotePrefix="1" applyNumberFormat="1" applyFont="1" applyFill="1" applyBorder="1" applyAlignment="1">
      <alignment horizontal="center"/>
    </xf>
    <xf numFmtId="0" fontId="27" fillId="4" borderId="0" xfId="0" applyFont="1" applyFill="1" applyBorder="1" applyAlignment="1"/>
    <xf numFmtId="0" fontId="0" fillId="4" borderId="0" xfId="0" applyFill="1" applyBorder="1" applyAlignment="1">
      <alignment vertical="center"/>
    </xf>
    <xf numFmtId="0" fontId="19" fillId="4" borderId="0" xfId="0" quotePrefix="1" applyFont="1" applyFill="1" applyBorder="1" applyAlignment="1">
      <alignment horizontal="center"/>
    </xf>
    <xf numFmtId="0" fontId="15" fillId="4" borderId="37" xfId="0" applyFont="1" applyFill="1" applyBorder="1" applyAlignment="1">
      <alignment horizontal="center"/>
    </xf>
    <xf numFmtId="0" fontId="15" fillId="4" borderId="38" xfId="0" applyFont="1" applyFill="1" applyBorder="1" applyAlignment="1">
      <alignment horizontal="center"/>
    </xf>
    <xf numFmtId="0" fontId="26" fillId="4" borderId="0" xfId="0" applyFont="1" applyFill="1" applyBorder="1" applyAlignment="1">
      <alignment vertical="center"/>
    </xf>
    <xf numFmtId="0" fontId="24" fillId="4" borderId="37" xfId="0" applyFont="1" applyFill="1" applyBorder="1" applyAlignment="1">
      <alignment vertical="center"/>
    </xf>
    <xf numFmtId="0" fontId="24" fillId="4" borderId="0" xfId="0" applyFont="1" applyFill="1" applyBorder="1" applyAlignment="1">
      <alignment vertical="center"/>
    </xf>
    <xf numFmtId="0" fontId="24" fillId="4" borderId="38" xfId="0" applyFont="1" applyFill="1" applyBorder="1" applyAlignment="1">
      <alignment vertical="center"/>
    </xf>
    <xf numFmtId="0" fontId="20" fillId="4" borderId="37" xfId="0" applyFont="1" applyFill="1" applyBorder="1" applyAlignment="1"/>
    <xf numFmtId="0" fontId="20" fillId="4" borderId="38" xfId="0" applyFont="1" applyFill="1" applyBorder="1" applyAlignment="1"/>
    <xf numFmtId="0" fontId="15" fillId="4" borderId="37" xfId="0" applyFont="1" applyFill="1" applyBorder="1"/>
    <xf numFmtId="0" fontId="15" fillId="4" borderId="0" xfId="0" applyFont="1" applyFill="1" applyBorder="1"/>
    <xf numFmtId="0" fontId="15" fillId="4" borderId="38" xfId="0" applyFont="1" applyFill="1" applyBorder="1"/>
    <xf numFmtId="0" fontId="0" fillId="4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26" fillId="4" borderId="0" xfId="0" applyFont="1" applyFill="1" applyBorder="1" applyAlignment="1">
      <alignment horizontal="left" vertical="center"/>
    </xf>
    <xf numFmtId="0" fontId="1" fillId="0" borderId="0" xfId="0" applyFont="1" applyFill="1" applyBorder="1"/>
    <xf numFmtId="0" fontId="24" fillId="4" borderId="37" xfId="0" applyFont="1" applyFill="1" applyBorder="1" applyAlignment="1">
      <alignment vertical="top"/>
    </xf>
    <xf numFmtId="0" fontId="19" fillId="4" borderId="0" xfId="0" applyFont="1" applyFill="1" applyBorder="1" applyAlignment="1">
      <alignment horizontal="center"/>
    </xf>
    <xf numFmtId="2" fontId="15" fillId="4" borderId="37" xfId="0" applyNumberFormat="1" applyFont="1" applyFill="1" applyBorder="1" applyAlignment="1">
      <alignment horizontal="center"/>
    </xf>
    <xf numFmtId="2" fontId="15" fillId="4" borderId="38" xfId="0" applyNumberFormat="1" applyFont="1" applyFill="1" applyBorder="1" applyAlignment="1">
      <alignment horizontal="center"/>
    </xf>
    <xf numFmtId="2" fontId="15" fillId="4" borderId="0" xfId="0" applyNumberFormat="1" applyFont="1" applyFill="1" applyBorder="1" applyAlignment="1">
      <alignment horizontal="center"/>
    </xf>
    <xf numFmtId="0" fontId="19" fillId="4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27" fillId="4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 vertical="center"/>
    </xf>
    <xf numFmtId="164" fontId="0" fillId="0" borderId="0" xfId="0" applyNumberFormat="1" applyFill="1" applyBorder="1" applyAlignment="1">
      <alignment vertical="center"/>
    </xf>
    <xf numFmtId="164" fontId="0" fillId="4" borderId="0" xfId="0" applyNumberFormat="1" applyFill="1" applyBorder="1" applyAlignment="1">
      <alignment vertical="center"/>
    </xf>
    <xf numFmtId="164" fontId="0" fillId="4" borderId="39" xfId="0" applyNumberFormat="1" applyFill="1" applyBorder="1" applyAlignment="1">
      <alignment vertical="center"/>
    </xf>
    <xf numFmtId="0" fontId="30" fillId="4" borderId="0" xfId="0" applyFont="1" applyFill="1" applyBorder="1"/>
    <xf numFmtId="0" fontId="19" fillId="4" borderId="0" xfId="0" applyFont="1" applyFill="1" applyBorder="1" applyAlignment="1">
      <alignment horizontal="center"/>
    </xf>
    <xf numFmtId="0" fontId="19" fillId="4" borderId="0" xfId="0" applyFont="1" applyFill="1" applyBorder="1" applyAlignment="1">
      <alignment horizontal="center"/>
    </xf>
    <xf numFmtId="2" fontId="15" fillId="4" borderId="37" xfId="0" applyNumberFormat="1" applyFont="1" applyFill="1" applyBorder="1" applyAlignment="1">
      <alignment horizontal="center"/>
    </xf>
    <xf numFmtId="0" fontId="0" fillId="4" borderId="39" xfId="0" applyFill="1" applyBorder="1" applyAlignment="1">
      <alignment vertical="center"/>
    </xf>
    <xf numFmtId="0" fontId="1" fillId="4" borderId="48" xfId="0" applyFont="1" applyFill="1" applyBorder="1" applyAlignment="1"/>
    <xf numFmtId="0" fontId="0" fillId="4" borderId="48" xfId="0" applyFill="1" applyBorder="1" applyAlignment="1">
      <alignment horizontal="center"/>
    </xf>
    <xf numFmtId="0" fontId="19" fillId="4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left"/>
    </xf>
    <xf numFmtId="0" fontId="12" fillId="4" borderId="0" xfId="0" applyFont="1" applyFill="1" applyBorder="1" applyAlignment="1">
      <alignment horizontal="left"/>
    </xf>
    <xf numFmtId="0" fontId="20" fillId="4" borderId="0" xfId="0" applyFont="1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1" fillId="4" borderId="0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center"/>
    </xf>
    <xf numFmtId="0" fontId="27" fillId="4" borderId="0" xfId="0" applyFont="1" applyFill="1" applyBorder="1" applyAlignment="1">
      <alignment horizontal="right"/>
    </xf>
    <xf numFmtId="0" fontId="1" fillId="4" borderId="27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" fontId="12" fillId="0" borderId="39" xfId="0" applyNumberFormat="1" applyFont="1" applyBorder="1" applyAlignment="1" applyProtection="1">
      <alignment vertical="center"/>
      <protection locked="0"/>
    </xf>
    <xf numFmtId="1" fontId="12" fillId="0" borderId="34" xfId="0" applyNumberFormat="1" applyFont="1" applyBorder="1" applyAlignment="1" applyProtection="1">
      <alignment vertical="center"/>
      <protection locked="0"/>
    </xf>
    <xf numFmtId="2" fontId="15" fillId="4" borderId="37" xfId="0" applyNumberFormat="1" applyFont="1" applyFill="1" applyBorder="1" applyAlignment="1">
      <alignment horizontal="center"/>
    </xf>
    <xf numFmtId="2" fontId="15" fillId="4" borderId="38" xfId="0" applyNumberFormat="1" applyFont="1" applyFill="1" applyBorder="1" applyAlignment="1">
      <alignment horizontal="center"/>
    </xf>
    <xf numFmtId="2" fontId="15" fillId="4" borderId="0" xfId="0" applyNumberFormat="1" applyFont="1" applyFill="1" applyBorder="1" applyAlignment="1">
      <alignment horizontal="center"/>
    </xf>
    <xf numFmtId="2" fontId="19" fillId="0" borderId="16" xfId="0" applyNumberFormat="1" applyFont="1" applyFill="1" applyBorder="1" applyAlignment="1" applyProtection="1">
      <alignment horizontal="center"/>
      <protection locked="0"/>
    </xf>
    <xf numFmtId="0" fontId="19" fillId="4" borderId="0" xfId="0" applyFont="1" applyFill="1" applyBorder="1" applyAlignment="1">
      <alignment horizontal="center"/>
    </xf>
    <xf numFmtId="0" fontId="0" fillId="4" borderId="0" xfId="0" applyFill="1" applyAlignment="1"/>
    <xf numFmtId="0" fontId="13" fillId="4" borderId="0" xfId="0" applyFont="1" applyFill="1" applyAlignment="1">
      <alignment vertical="center"/>
    </xf>
    <xf numFmtId="0" fontId="12" fillId="4" borderId="0" xfId="0" applyFont="1" applyFill="1"/>
    <xf numFmtId="0" fontId="1" fillId="4" borderId="0" xfId="0" applyFont="1" applyFill="1"/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3" fillId="0" borderId="49" xfId="0" applyFont="1" applyBorder="1" applyAlignment="1"/>
    <xf numFmtId="0" fontId="3" fillId="0" borderId="16" xfId="0" applyFont="1" applyBorder="1" applyAlignment="1"/>
    <xf numFmtId="0" fontId="3" fillId="0" borderId="3" xfId="0" applyFont="1" applyBorder="1" applyAlignment="1"/>
    <xf numFmtId="0" fontId="3" fillId="0" borderId="50" xfId="0" applyFont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170" fontId="12" fillId="4" borderId="37" xfId="0" applyNumberFormat="1" applyFont="1" applyFill="1" applyBorder="1" applyAlignment="1">
      <alignment horizontal="center"/>
    </xf>
    <xf numFmtId="170" fontId="12" fillId="4" borderId="38" xfId="0" applyNumberFormat="1" applyFont="1" applyFill="1" applyBorder="1" applyAlignment="1">
      <alignment horizontal="center"/>
    </xf>
    <xf numFmtId="170" fontId="12" fillId="4" borderId="0" xfId="0" applyNumberFormat="1" applyFont="1" applyFill="1" applyBorder="1" applyAlignment="1">
      <alignment horizontal="center"/>
    </xf>
    <xf numFmtId="0" fontId="12" fillId="4" borderId="37" xfId="0" applyFont="1" applyFill="1" applyBorder="1" applyAlignment="1">
      <alignment horizontal="center"/>
    </xf>
    <xf numFmtId="0" fontId="12" fillId="4" borderId="38" xfId="0" applyFont="1" applyFill="1" applyBorder="1" applyAlignment="1">
      <alignment horizontal="center"/>
    </xf>
    <xf numFmtId="0" fontId="32" fillId="4" borderId="0" xfId="0" applyFont="1" applyFill="1" applyBorder="1" applyAlignment="1">
      <alignment vertical="top"/>
    </xf>
    <xf numFmtId="0" fontId="12" fillId="4" borderId="37" xfId="0" applyFont="1" applyFill="1" applyBorder="1"/>
    <xf numFmtId="0" fontId="32" fillId="4" borderId="37" xfId="0" applyFont="1" applyFill="1" applyBorder="1" applyAlignment="1">
      <alignment vertical="top"/>
    </xf>
    <xf numFmtId="0" fontId="1" fillId="4" borderId="37" xfId="0" applyFont="1" applyFill="1" applyBorder="1"/>
    <xf numFmtId="0" fontId="32" fillId="4" borderId="0" xfId="0" applyFont="1" applyFill="1" applyBorder="1" applyAlignment="1">
      <alignment horizontal="left" vertical="center"/>
    </xf>
    <xf numFmtId="0" fontId="32" fillId="4" borderId="37" xfId="0" applyFont="1" applyFill="1" applyBorder="1" applyAlignment="1">
      <alignment horizontal="left" vertical="center"/>
    </xf>
    <xf numFmtId="0" fontId="32" fillId="4" borderId="38" xfId="0" applyFont="1" applyFill="1" applyBorder="1" applyAlignment="1">
      <alignment horizontal="left" vertical="center"/>
    </xf>
    <xf numFmtId="0" fontId="1" fillId="4" borderId="37" xfId="0" applyFont="1" applyFill="1" applyBorder="1" applyAlignment="1">
      <alignment horizontal="left"/>
    </xf>
    <xf numFmtId="0" fontId="1" fillId="4" borderId="38" xfId="0" applyFont="1" applyFill="1" applyBorder="1" applyAlignment="1">
      <alignment horizontal="left"/>
    </xf>
    <xf numFmtId="0" fontId="32" fillId="4" borderId="37" xfId="0" applyFont="1" applyFill="1" applyBorder="1" applyAlignment="1">
      <alignment vertical="center"/>
    </xf>
    <xf numFmtId="0" fontId="32" fillId="4" borderId="0" xfId="0" applyFont="1" applyFill="1" applyBorder="1" applyAlignment="1">
      <alignment vertical="center"/>
    </xf>
    <xf numFmtId="0" fontId="32" fillId="4" borderId="38" xfId="0" applyFont="1" applyFill="1" applyBorder="1" applyAlignment="1">
      <alignment vertical="center"/>
    </xf>
    <xf numFmtId="0" fontId="1" fillId="4" borderId="37" xfId="0" applyFont="1" applyFill="1" applyBorder="1" applyAlignment="1"/>
    <xf numFmtId="0" fontId="1" fillId="4" borderId="38" xfId="0" applyFont="1" applyFill="1" applyBorder="1" applyAlignment="1"/>
    <xf numFmtId="0" fontId="21" fillId="4" borderId="0" xfId="0" applyFont="1" applyFill="1" applyBorder="1" applyAlignment="1">
      <alignment horizontal="center" vertical="center"/>
    </xf>
    <xf numFmtId="0" fontId="20" fillId="4" borderId="0" xfId="0" applyFont="1" applyFill="1" applyBorder="1" applyAlignment="1">
      <alignment horizontal="center"/>
    </xf>
    <xf numFmtId="0" fontId="20" fillId="4" borderId="37" xfId="0" applyFont="1" applyFill="1" applyBorder="1" applyAlignment="1">
      <alignment horizontal="center"/>
    </xf>
    <xf numFmtId="0" fontId="20" fillId="4" borderId="38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39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1" fillId="4" borderId="0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center"/>
    </xf>
    <xf numFmtId="0" fontId="19" fillId="4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right"/>
    </xf>
    <xf numFmtId="0" fontId="19" fillId="4" borderId="0" xfId="0" applyFont="1" applyFill="1" applyBorder="1" applyAlignment="1">
      <alignment horizontal="center"/>
    </xf>
    <xf numFmtId="0" fontId="19" fillId="4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15" fillId="4" borderId="37" xfId="0" applyFont="1" applyFill="1" applyBorder="1" applyAlignment="1">
      <alignment horizontal="center"/>
    </xf>
    <xf numFmtId="0" fontId="15" fillId="4" borderId="0" xfId="0" applyFont="1" applyFill="1" applyBorder="1" applyAlignment="1">
      <alignment horizontal="center"/>
    </xf>
    <xf numFmtId="0" fontId="15" fillId="4" borderId="38" xfId="0" applyFont="1" applyFill="1" applyBorder="1" applyAlignment="1">
      <alignment horizontal="center"/>
    </xf>
    <xf numFmtId="0" fontId="19" fillId="4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5" fontId="12" fillId="0" borderId="0" xfId="0" applyNumberFormat="1" applyFont="1" applyBorder="1" applyAlignment="1" applyProtection="1">
      <alignment horizontal="center" vertical="center"/>
      <protection locked="0"/>
    </xf>
    <xf numFmtId="15" fontId="12" fillId="4" borderId="0" xfId="0" applyNumberFormat="1" applyFont="1" applyFill="1" applyBorder="1" applyAlignment="1" applyProtection="1">
      <alignment horizontal="center" vertical="center"/>
      <protection locked="0"/>
    </xf>
    <xf numFmtId="0" fontId="12" fillId="4" borderId="39" xfId="0" applyFont="1" applyFill="1" applyBorder="1" applyAlignment="1" applyProtection="1">
      <alignment horizontal="right" vertical="center"/>
      <protection locked="0"/>
    </xf>
    <xf numFmtId="2" fontId="15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52" xfId="0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0" fontId="1" fillId="0" borderId="54" xfId="0" applyFon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1" xfId="0" applyBorder="1" applyAlignment="1">
      <alignment horizontal="center"/>
    </xf>
    <xf numFmtId="0" fontId="1" fillId="0" borderId="62" xfId="0" applyFont="1" applyBorder="1" applyAlignment="1">
      <alignment horizontal="center"/>
    </xf>
    <xf numFmtId="0" fontId="1" fillId="0" borderId="63" xfId="0" applyFont="1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66" xfId="0" applyBorder="1" applyAlignment="1">
      <alignment horizontal="center"/>
    </xf>
    <xf numFmtId="0" fontId="1" fillId="0" borderId="0" xfId="0" applyFont="1"/>
    <xf numFmtId="0" fontId="12" fillId="0" borderId="40" xfId="0" applyFont="1" applyBorder="1" applyAlignment="1"/>
    <xf numFmtId="0" fontId="12" fillId="0" borderId="64" xfId="0" applyFont="1" applyBorder="1" applyAlignment="1">
      <alignment horizontal="center"/>
    </xf>
    <xf numFmtId="0" fontId="12" fillId="0" borderId="65" xfId="0" applyFont="1" applyBorder="1" applyAlignment="1">
      <alignment horizontal="center"/>
    </xf>
    <xf numFmtId="0" fontId="12" fillId="0" borderId="66" xfId="0" applyFont="1" applyBorder="1" applyAlignment="1">
      <alignment horizontal="center"/>
    </xf>
    <xf numFmtId="0" fontId="12" fillId="0" borderId="55" xfId="0" applyFont="1" applyBorder="1" applyAlignment="1">
      <alignment horizontal="center"/>
    </xf>
    <xf numFmtId="0" fontId="12" fillId="0" borderId="56" xfId="0" applyFont="1" applyBorder="1" applyAlignment="1">
      <alignment horizontal="center"/>
    </xf>
    <xf numFmtId="0" fontId="0" fillId="0" borderId="67" xfId="0" applyBorder="1" applyAlignment="1"/>
    <xf numFmtId="0" fontId="0" fillId="0" borderId="64" xfId="0" applyBorder="1" applyAlignment="1"/>
    <xf numFmtId="1" fontId="0" fillId="0" borderId="16" xfId="0" applyNumberForma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/>
    <xf numFmtId="0" fontId="0" fillId="4" borderId="68" xfId="0" applyFill="1" applyBorder="1" applyAlignment="1">
      <alignment horizontal="center"/>
    </xf>
    <xf numFmtId="0" fontId="0" fillId="4" borderId="45" xfId="0" applyFill="1" applyBorder="1" applyAlignment="1">
      <alignment horizontal="center"/>
    </xf>
    <xf numFmtId="0" fontId="1" fillId="4" borderId="45" xfId="0" applyFont="1" applyFill="1" applyBorder="1"/>
    <xf numFmtId="0" fontId="0" fillId="4" borderId="69" xfId="0" applyFill="1" applyBorder="1" applyAlignment="1">
      <alignment horizontal="center"/>
    </xf>
    <xf numFmtId="0" fontId="1" fillId="0" borderId="70" xfId="0" applyFont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41" xfId="0" applyFill="1" applyBorder="1" applyAlignment="1">
      <alignment horizontal="center"/>
    </xf>
    <xf numFmtId="11" fontId="3" fillId="0" borderId="0" xfId="0" applyNumberFormat="1" applyFont="1"/>
    <xf numFmtId="14" fontId="3" fillId="0" borderId="0" xfId="0" applyNumberFormat="1" applyFont="1"/>
    <xf numFmtId="0" fontId="0" fillId="4" borderId="71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0" fillId="4" borderId="40" xfId="0" applyFill="1" applyBorder="1" applyAlignment="1">
      <alignment horizontal="center"/>
    </xf>
    <xf numFmtId="0" fontId="0" fillId="4" borderId="75" xfId="0" applyFill="1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7" xfId="0" applyBorder="1" applyAlignment="1">
      <alignment horizontal="center"/>
    </xf>
    <xf numFmtId="0" fontId="12" fillId="4" borderId="0" xfId="0" applyFont="1" applyFill="1" applyBorder="1" applyAlignment="1">
      <alignment horizontal="left"/>
    </xf>
    <xf numFmtId="0" fontId="12" fillId="0" borderId="62" xfId="0" applyFont="1" applyBorder="1" applyAlignment="1">
      <alignment horizontal="center"/>
    </xf>
    <xf numFmtId="0" fontId="12" fillId="0" borderId="63" xfId="0" applyFont="1" applyBorder="1" applyAlignment="1">
      <alignment horizontal="center"/>
    </xf>
    <xf numFmtId="0" fontId="0" fillId="0" borderId="67" xfId="0" applyBorder="1"/>
    <xf numFmtId="1" fontId="0" fillId="0" borderId="57" xfId="0" applyNumberFormat="1" applyBorder="1" applyAlignment="1">
      <alignment horizontal="center"/>
    </xf>
    <xf numFmtId="1" fontId="0" fillId="0" borderId="58" xfId="0" applyNumberFormat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0" fontId="1" fillId="0" borderId="79" xfId="0" applyFont="1" applyBorder="1"/>
    <xf numFmtId="0" fontId="1" fillId="0" borderId="65" xfId="0" applyFont="1" applyBorder="1"/>
    <xf numFmtId="0" fontId="1" fillId="0" borderId="66" xfId="0" applyFont="1" applyBorder="1"/>
    <xf numFmtId="0" fontId="1" fillId="0" borderId="3" xfId="0" applyFont="1" applyBorder="1"/>
    <xf numFmtId="0" fontId="1" fillId="0" borderId="61" xfId="0" applyFont="1" applyBorder="1"/>
    <xf numFmtId="0" fontId="12" fillId="0" borderId="80" xfId="0" applyFont="1" applyBorder="1"/>
    <xf numFmtId="0" fontId="12" fillId="0" borderId="64" xfId="0" applyFont="1" applyBorder="1"/>
    <xf numFmtId="0" fontId="13" fillId="4" borderId="0" xfId="0" applyFont="1" applyFill="1" applyBorder="1" applyAlignment="1">
      <alignment vertical="center"/>
    </xf>
    <xf numFmtId="0" fontId="25" fillId="0" borderId="34" xfId="0" quotePrefix="1" applyFont="1" applyFill="1" applyBorder="1"/>
    <xf numFmtId="0" fontId="13" fillId="0" borderId="31" xfId="0" applyFont="1" applyFill="1" applyBorder="1" applyAlignment="1">
      <alignment horizontal="left"/>
    </xf>
    <xf numFmtId="0" fontId="25" fillId="4" borderId="31" xfId="0" applyFont="1" applyFill="1" applyBorder="1" applyAlignment="1"/>
    <xf numFmtId="0" fontId="25" fillId="0" borderId="34" xfId="0" applyFont="1" applyFill="1" applyBorder="1" applyAlignment="1"/>
    <xf numFmtId="0" fontId="15" fillId="4" borderId="0" xfId="0" applyFont="1" applyFill="1" applyBorder="1" applyAlignment="1">
      <alignment horizontal="left"/>
    </xf>
    <xf numFmtId="0" fontId="25" fillId="4" borderId="0" xfId="0" applyFont="1" applyFill="1" applyBorder="1" applyAlignment="1"/>
    <xf numFmtId="168" fontId="15" fillId="4" borderId="0" xfId="0" applyNumberFormat="1" applyFont="1" applyFill="1" applyBorder="1" applyAlignment="1">
      <alignment horizontal="left"/>
    </xf>
    <xf numFmtId="168" fontId="15" fillId="4" borderId="34" xfId="0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5" fillId="4" borderId="34" xfId="0" applyFont="1" applyFill="1" applyBorder="1" applyAlignment="1">
      <alignment horizontal="left"/>
    </xf>
    <xf numFmtId="0" fontId="9" fillId="0" borderId="34" xfId="0" applyFont="1" applyFill="1" applyBorder="1" applyAlignment="1"/>
    <xf numFmtId="0" fontId="25" fillId="0" borderId="34" xfId="0" applyFont="1" applyFill="1" applyBorder="1"/>
    <xf numFmtId="0" fontId="13" fillId="0" borderId="36" xfId="0" applyFont="1" applyFill="1" applyBorder="1" applyAlignment="1">
      <alignment horizontal="left"/>
    </xf>
    <xf numFmtId="0" fontId="25" fillId="4" borderId="36" xfId="0" applyFont="1" applyFill="1" applyBorder="1" applyAlignment="1"/>
    <xf numFmtId="0" fontId="15" fillId="4" borderId="0" xfId="0" applyFont="1" applyFill="1" applyBorder="1" applyAlignment="1"/>
    <xf numFmtId="0" fontId="15" fillId="4" borderId="30" xfId="0" applyFont="1" applyFill="1" applyBorder="1" applyAlignment="1"/>
    <xf numFmtId="0" fontId="15" fillId="4" borderId="31" xfId="0" applyFont="1" applyFill="1" applyBorder="1" applyAlignment="1"/>
    <xf numFmtId="0" fontId="12" fillId="4" borderId="31" xfId="0" applyFont="1" applyFill="1" applyBorder="1" applyAlignment="1">
      <alignment horizontal="left"/>
    </xf>
    <xf numFmtId="0" fontId="15" fillId="4" borderId="31" xfId="0" applyFont="1" applyFill="1" applyBorder="1" applyAlignment="1">
      <alignment horizontal="left"/>
    </xf>
    <xf numFmtId="0" fontId="0" fillId="0" borderId="31" xfId="0" applyBorder="1"/>
    <xf numFmtId="0" fontId="0" fillId="0" borderId="32" xfId="0" applyBorder="1"/>
    <xf numFmtId="0" fontId="0" fillId="0" borderId="34" xfId="0" applyBorder="1"/>
    <xf numFmtId="0" fontId="12" fillId="0" borderId="33" xfId="0" applyFont="1" applyBorder="1" applyAlignment="1"/>
    <xf numFmtId="0" fontId="12" fillId="0" borderId="0" xfId="0" applyFont="1" applyBorder="1" applyAlignment="1"/>
    <xf numFmtId="0" fontId="0" fillId="0" borderId="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3" xfId="0" applyBorder="1" applyAlignment="1"/>
    <xf numFmtId="0" fontId="0" fillId="0" borderId="0" xfId="0" applyBorder="1" applyAlignment="1"/>
    <xf numFmtId="0" fontId="9" fillId="0" borderId="80" xfId="0" applyFont="1" applyBorder="1" applyAlignment="1"/>
    <xf numFmtId="0" fontId="0" fillId="0" borderId="33" xfId="0" applyBorder="1"/>
    <xf numFmtId="0" fontId="6" fillId="0" borderId="41" xfId="0" applyFont="1" applyBorder="1"/>
    <xf numFmtId="0" fontId="9" fillId="0" borderId="72" xfId="0" applyFont="1" applyBorder="1" applyAlignment="1">
      <alignment horizontal="center"/>
    </xf>
    <xf numFmtId="0" fontId="6" fillId="0" borderId="40" xfId="0" applyFont="1" applyBorder="1"/>
    <xf numFmtId="0" fontId="36" fillId="0" borderId="34" xfId="0" applyFont="1" applyFill="1" applyBorder="1" applyAlignment="1"/>
    <xf numFmtId="0" fontId="36" fillId="0" borderId="0" xfId="0" applyFont="1" applyFill="1" applyBorder="1" applyAlignment="1"/>
    <xf numFmtId="0" fontId="6" fillId="3" borderId="64" xfId="0" applyFont="1" applyFill="1" applyBorder="1"/>
    <xf numFmtId="1" fontId="6" fillId="0" borderId="55" xfId="0" applyNumberFormat="1" applyFont="1" applyBorder="1" applyAlignment="1">
      <alignment horizontal="center"/>
    </xf>
    <xf numFmtId="0" fontId="12" fillId="0" borderId="56" xfId="0" applyFont="1" applyBorder="1"/>
    <xf numFmtId="0" fontId="6" fillId="0" borderId="65" xfId="0" applyFont="1" applyBorder="1"/>
    <xf numFmtId="1" fontId="6" fillId="0" borderId="16" xfId="0" applyNumberFormat="1" applyFont="1" applyBorder="1" applyAlignment="1">
      <alignment horizontal="center"/>
    </xf>
    <xf numFmtId="0" fontId="12" fillId="0" borderId="57" xfId="0" applyFont="1" applyBorder="1"/>
    <xf numFmtId="2" fontId="6" fillId="0" borderId="16" xfId="0" applyNumberFormat="1" applyFont="1" applyBorder="1" applyAlignment="1">
      <alignment horizontal="center"/>
    </xf>
    <xf numFmtId="0" fontId="6" fillId="3" borderId="65" xfId="0" applyFont="1" applyFill="1" applyBorder="1"/>
    <xf numFmtId="0" fontId="12" fillId="0" borderId="57" xfId="0" applyFont="1" applyFill="1" applyBorder="1"/>
    <xf numFmtId="165" fontId="6" fillId="0" borderId="16" xfId="0" applyNumberFormat="1" applyFont="1" applyBorder="1" applyAlignment="1">
      <alignment horizontal="center"/>
    </xf>
    <xf numFmtId="0" fontId="6" fillId="3" borderId="66" xfId="0" applyFont="1" applyFill="1" applyBorder="1"/>
    <xf numFmtId="2" fontId="6" fillId="0" borderId="58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9" fillId="0" borderId="0" xfId="0" applyFont="1" applyFill="1" applyBorder="1"/>
    <xf numFmtId="0" fontId="0" fillId="0" borderId="35" xfId="0" applyBorder="1"/>
    <xf numFmtId="2" fontId="0" fillId="0" borderId="36" xfId="0" applyNumberFormat="1" applyBorder="1" applyAlignment="1">
      <alignment horizontal="center"/>
    </xf>
    <xf numFmtId="0" fontId="19" fillId="0" borderId="36" xfId="0" applyFont="1" applyFill="1" applyBorder="1"/>
    <xf numFmtId="0" fontId="0" fillId="0" borderId="36" xfId="0" applyBorder="1"/>
    <xf numFmtId="0" fontId="0" fillId="0" borderId="19" xfId="0" applyBorder="1"/>
    <xf numFmtId="0" fontId="6" fillId="3" borderId="0" xfId="0" applyFont="1" applyFill="1" applyBorder="1" applyAlignment="1"/>
    <xf numFmtId="0" fontId="6" fillId="4" borderId="27" xfId="0" applyFont="1" applyFill="1" applyBorder="1"/>
    <xf numFmtId="0" fontId="6" fillId="4" borderId="0" xfId="0" applyFont="1" applyFill="1" applyBorder="1" applyAlignment="1">
      <alignment horizontal="right"/>
    </xf>
    <xf numFmtId="0" fontId="6" fillId="4" borderId="0" xfId="0" applyFont="1" applyFill="1" applyBorder="1"/>
    <xf numFmtId="0" fontId="12" fillId="0" borderId="59" xfId="0" quotePrefix="1" applyFont="1" applyFill="1" applyBorder="1"/>
    <xf numFmtId="2" fontId="6" fillId="0" borderId="0" xfId="0" applyNumberFormat="1" applyFont="1" applyBorder="1" applyAlignment="1">
      <alignment horizontal="center"/>
    </xf>
    <xf numFmtId="0" fontId="12" fillId="0" borderId="0" xfId="0" quotePrefix="1" applyFont="1" applyFill="1" applyBorder="1"/>
    <xf numFmtId="0" fontId="12" fillId="0" borderId="0" xfId="0" quotePrefix="1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5" fillId="4" borderId="81" xfId="0" applyFont="1" applyFill="1" applyBorder="1" applyAlignment="1">
      <alignment horizontal="center"/>
    </xf>
    <xf numFmtId="1" fontId="15" fillId="0" borderId="5" xfId="0" applyNumberFormat="1" applyFont="1" applyBorder="1" applyAlignment="1">
      <alignment horizontal="center"/>
    </xf>
    <xf numFmtId="0" fontId="19" fillId="4" borderId="28" xfId="0" applyFont="1" applyFill="1" applyBorder="1" applyAlignment="1">
      <alignment horizontal="center" wrapText="1"/>
    </xf>
    <xf numFmtId="0" fontId="19" fillId="4" borderId="82" xfId="0" applyFont="1" applyFill="1" applyBorder="1" applyAlignment="1">
      <alignment horizontal="center" vertical="top" wrapText="1"/>
    </xf>
    <xf numFmtId="0" fontId="12" fillId="0" borderId="80" xfId="0" applyFont="1" applyBorder="1" applyAlignment="1">
      <alignment horizontal="center"/>
    </xf>
    <xf numFmtId="164" fontId="0" fillId="0" borderId="16" xfId="0" applyNumberFormat="1" applyBorder="1" applyAlignment="1">
      <alignment horizontal="center" vertical="center"/>
    </xf>
    <xf numFmtId="164" fontId="0" fillId="0" borderId="57" xfId="0" applyNumberFormat="1" applyBorder="1" applyAlignment="1">
      <alignment horizontal="center" vertical="center"/>
    </xf>
    <xf numFmtId="0" fontId="12" fillId="0" borderId="80" xfId="0" applyFont="1" applyBorder="1" applyAlignment="1">
      <alignment horizontal="center" vertical="center"/>
    </xf>
    <xf numFmtId="164" fontId="0" fillId="0" borderId="58" xfId="0" applyNumberFormat="1" applyBorder="1" applyAlignment="1">
      <alignment horizontal="center" vertical="center"/>
    </xf>
    <xf numFmtId="164" fontId="0" fillId="0" borderId="59" xfId="0" applyNumberFormat="1" applyBorder="1" applyAlignment="1">
      <alignment horizontal="center" vertical="center"/>
    </xf>
    <xf numFmtId="0" fontId="1" fillId="4" borderId="0" xfId="0" applyFont="1" applyFill="1" applyAlignment="1">
      <alignment horizontal="center" wrapText="1"/>
    </xf>
    <xf numFmtId="0" fontId="1" fillId="4" borderId="0" xfId="0" applyFont="1" applyFill="1" applyAlignment="1">
      <alignment horizontal="center" vertical="center"/>
    </xf>
    <xf numFmtId="0" fontId="19" fillId="0" borderId="65" xfId="0" applyFont="1" applyBorder="1" applyAlignment="1">
      <alignment horizontal="center" wrapText="1"/>
    </xf>
    <xf numFmtId="0" fontId="19" fillId="0" borderId="66" xfId="0" applyFont="1" applyBorder="1" applyAlignment="1">
      <alignment horizontal="center" vertical="center" wrapText="1"/>
    </xf>
    <xf numFmtId="164" fontId="15" fillId="4" borderId="83" xfId="0" applyNumberFormat="1" applyFont="1" applyFill="1" applyBorder="1" applyAlignment="1"/>
    <xf numFmtId="165" fontId="15" fillId="4" borderId="83" xfId="0" applyNumberFormat="1" applyFont="1" applyFill="1" applyBorder="1" applyAlignment="1">
      <alignment horizontal="center"/>
    </xf>
    <xf numFmtId="0" fontId="1" fillId="4" borderId="0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" fontId="19" fillId="0" borderId="14" xfId="0" applyNumberFormat="1" applyFont="1" applyBorder="1" applyAlignment="1" applyProtection="1">
      <alignment horizontal="center"/>
    </xf>
    <xf numFmtId="165" fontId="19" fillId="0" borderId="29" xfId="0" applyNumberFormat="1" applyFont="1" applyBorder="1" applyAlignment="1">
      <alignment horizontal="center"/>
    </xf>
    <xf numFmtId="0" fontId="1" fillId="4" borderId="27" xfId="0" applyFont="1" applyFill="1" applyBorder="1"/>
    <xf numFmtId="0" fontId="12" fillId="4" borderId="0" xfId="0" applyFont="1" applyFill="1" applyBorder="1" applyAlignment="1">
      <alignment horizontal="left"/>
    </xf>
    <xf numFmtId="0" fontId="15" fillId="4" borderId="31" xfId="0" applyFont="1" applyFill="1" applyBorder="1" applyAlignment="1">
      <alignment horizontal="left"/>
    </xf>
    <xf numFmtId="0" fontId="15" fillId="4" borderId="0" xfId="0" applyFont="1" applyFill="1" applyBorder="1" applyAlignment="1">
      <alignment horizontal="left"/>
    </xf>
    <xf numFmtId="0" fontId="15" fillId="4" borderId="34" xfId="0" applyFont="1" applyFill="1" applyBorder="1" applyAlignment="1">
      <alignment horizontal="left"/>
    </xf>
    <xf numFmtId="1" fontId="6" fillId="0" borderId="55" xfId="0" applyNumberFormat="1" applyFont="1" applyBorder="1" applyAlignment="1">
      <alignment horizontal="center"/>
    </xf>
    <xf numFmtId="1" fontId="6" fillId="0" borderId="16" xfId="0" applyNumberFormat="1" applyFont="1" applyBorder="1" applyAlignment="1">
      <alignment horizontal="center"/>
    </xf>
    <xf numFmtId="2" fontId="6" fillId="0" borderId="16" xfId="0" applyNumberFormat="1" applyFont="1" applyBorder="1" applyAlignment="1">
      <alignment horizontal="center"/>
    </xf>
    <xf numFmtId="165" fontId="6" fillId="0" borderId="16" xfId="0" applyNumberFormat="1" applyFont="1" applyBorder="1" applyAlignment="1">
      <alignment horizontal="center"/>
    </xf>
    <xf numFmtId="2" fontId="6" fillId="0" borderId="58" xfId="0" applyNumberFormat="1" applyFont="1" applyBorder="1" applyAlignment="1">
      <alignment horizontal="center"/>
    </xf>
    <xf numFmtId="0" fontId="9" fillId="0" borderId="0" xfId="0" applyFont="1" applyBorder="1" applyAlignment="1"/>
    <xf numFmtId="0" fontId="6" fillId="0" borderId="0" xfId="0" applyFont="1" applyBorder="1"/>
    <xf numFmtId="0" fontId="9" fillId="0" borderId="0" xfId="0" applyFont="1" applyBorder="1" applyAlignment="1">
      <alignment horizontal="center"/>
    </xf>
    <xf numFmtId="0" fontId="6" fillId="3" borderId="0" xfId="0" applyFont="1" applyFill="1" applyBorder="1"/>
    <xf numFmtId="1" fontId="6" fillId="0" borderId="0" xfId="0" applyNumberFormat="1" applyFont="1" applyBorder="1" applyAlignment="1">
      <alignment horizontal="center"/>
    </xf>
    <xf numFmtId="0" fontId="12" fillId="0" borderId="80" xfId="0" applyFont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41" xfId="0" applyFill="1" applyBorder="1" applyAlignment="1">
      <alignment horizontal="center"/>
    </xf>
    <xf numFmtId="0" fontId="3" fillId="0" borderId="0" xfId="0" applyFont="1" applyFill="1"/>
    <xf numFmtId="0" fontId="19" fillId="4" borderId="16" xfId="0" applyFont="1" applyFill="1" applyBorder="1" applyAlignment="1">
      <alignment horizontal="left"/>
    </xf>
    <xf numFmtId="0" fontId="19" fillId="4" borderId="87" xfId="0" applyFont="1" applyFill="1" applyBorder="1" applyAlignment="1">
      <alignment horizontal="left"/>
    </xf>
    <xf numFmtId="0" fontId="12" fillId="3" borderId="82" xfId="0" applyFont="1" applyFill="1" applyBorder="1" applyAlignment="1">
      <alignment horizontal="left"/>
    </xf>
    <xf numFmtId="0" fontId="15" fillId="0" borderId="81" xfId="0" applyFont="1" applyBorder="1" applyAlignment="1">
      <alignment horizontal="center"/>
    </xf>
    <xf numFmtId="0" fontId="19" fillId="4" borderId="29" xfId="0" applyFont="1" applyFill="1" applyBorder="1" applyAlignment="1">
      <alignment horizontal="left"/>
    </xf>
    <xf numFmtId="164" fontId="15" fillId="0" borderId="5" xfId="0" applyNumberFormat="1" applyFont="1" applyBorder="1" applyAlignment="1">
      <alignment horizontal="center"/>
    </xf>
    <xf numFmtId="164" fontId="15" fillId="4" borderId="5" xfId="0" applyNumberFormat="1" applyFont="1" applyFill="1" applyBorder="1" applyAlignment="1">
      <alignment horizontal="center"/>
    </xf>
    <xf numFmtId="0" fontId="19" fillId="4" borderId="0" xfId="0" applyFont="1" applyFill="1" applyBorder="1" applyAlignment="1">
      <alignment horizontal="center"/>
    </xf>
    <xf numFmtId="0" fontId="19" fillId="4" borderId="28" xfId="0" applyFont="1" applyFill="1" applyBorder="1" applyAlignment="1">
      <alignment horizontal="center" wrapText="1"/>
    </xf>
    <xf numFmtId="0" fontId="19" fillId="4" borderId="82" xfId="0" applyFont="1" applyFill="1" applyBorder="1" applyAlignment="1">
      <alignment horizontal="center" vertical="top" wrapText="1"/>
    </xf>
    <xf numFmtId="164" fontId="15" fillId="4" borderId="28" xfId="0" applyNumberFormat="1" applyFont="1" applyFill="1" applyBorder="1" applyAlignment="1">
      <alignment horizontal="center"/>
    </xf>
    <xf numFmtId="165" fontId="12" fillId="4" borderId="37" xfId="0" applyNumberFormat="1" applyFont="1" applyFill="1" applyBorder="1" applyAlignment="1">
      <alignment horizontal="center"/>
    </xf>
    <xf numFmtId="165" fontId="12" fillId="4" borderId="38" xfId="0" applyNumberFormat="1" applyFont="1" applyFill="1" applyBorder="1" applyAlignment="1">
      <alignment horizontal="center"/>
    </xf>
    <xf numFmtId="165" fontId="12" fillId="4" borderId="0" xfId="0" applyNumberFormat="1" applyFont="1" applyFill="1" applyBorder="1" applyAlignment="1">
      <alignment horizontal="center"/>
    </xf>
    <xf numFmtId="164" fontId="12" fillId="4" borderId="37" xfId="0" applyNumberFormat="1" applyFont="1" applyFill="1" applyBorder="1" applyAlignment="1">
      <alignment horizontal="center"/>
    </xf>
    <xf numFmtId="164" fontId="12" fillId="4" borderId="38" xfId="0" applyNumberFormat="1" applyFont="1" applyFill="1" applyBorder="1" applyAlignment="1">
      <alignment horizontal="center"/>
    </xf>
    <xf numFmtId="164" fontId="12" fillId="4" borderId="0" xfId="0" applyNumberFormat="1" applyFont="1" applyFill="1" applyBorder="1" applyAlignment="1">
      <alignment horizontal="center"/>
    </xf>
    <xf numFmtId="0" fontId="23" fillId="0" borderId="4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0" borderId="84" xfId="0" applyFont="1" applyBorder="1" applyAlignment="1">
      <alignment horizontal="center" vertical="center"/>
    </xf>
    <xf numFmtId="0" fontId="16" fillId="4" borderId="16" xfId="0" applyFont="1" applyFill="1" applyBorder="1" applyAlignment="1">
      <alignment horizontal="left"/>
    </xf>
    <xf numFmtId="0" fontId="16" fillId="4" borderId="5" xfId="0" applyFont="1" applyFill="1" applyBorder="1" applyAlignment="1">
      <alignment horizontal="left"/>
    </xf>
    <xf numFmtId="0" fontId="19" fillId="0" borderId="10" xfId="0" applyFont="1" applyFill="1" applyBorder="1" applyAlignment="1">
      <alignment horizontal="center"/>
    </xf>
    <xf numFmtId="0" fontId="19" fillId="0" borderId="18" xfId="0" applyFont="1" applyFill="1" applyBorder="1" applyAlignment="1">
      <alignment horizontal="center"/>
    </xf>
    <xf numFmtId="0" fontId="19" fillId="0" borderId="13" xfId="0" applyFont="1" applyFill="1" applyBorder="1" applyAlignment="1">
      <alignment horizontal="center"/>
    </xf>
    <xf numFmtId="0" fontId="19" fillId="0" borderId="85" xfId="0" applyFont="1" applyFill="1" applyBorder="1" applyAlignment="1">
      <alignment horizontal="left"/>
    </xf>
    <xf numFmtId="0" fontId="19" fillId="0" borderId="6" xfId="0" applyFont="1" applyFill="1" applyBorder="1" applyAlignment="1">
      <alignment horizontal="left"/>
    </xf>
    <xf numFmtId="0" fontId="19" fillId="0" borderId="3" xfId="0" applyFont="1" applyFill="1" applyBorder="1" applyAlignment="1">
      <alignment horizontal="left"/>
    </xf>
    <xf numFmtId="0" fontId="15" fillId="4" borderId="9" xfId="0" applyFont="1" applyFill="1" applyBorder="1" applyAlignment="1">
      <alignment horizontal="center"/>
    </xf>
    <xf numFmtId="0" fontId="15" fillId="4" borderId="12" xfId="0" applyFont="1" applyFill="1" applyBorder="1" applyAlignment="1">
      <alignment horizontal="center"/>
    </xf>
    <xf numFmtId="0" fontId="15" fillId="0" borderId="9" xfId="0" applyFont="1" applyFill="1" applyBorder="1" applyAlignment="1">
      <alignment horizontal="center"/>
    </xf>
    <xf numFmtId="0" fontId="15" fillId="0" borderId="12" xfId="0" applyFont="1" applyFill="1" applyBorder="1" applyAlignment="1">
      <alignment horizontal="center"/>
    </xf>
    <xf numFmtId="0" fontId="19" fillId="3" borderId="106" xfId="0" applyFont="1" applyFill="1" applyBorder="1" applyAlignment="1">
      <alignment horizontal="left"/>
    </xf>
    <xf numFmtId="0" fontId="19" fillId="3" borderId="14" xfId="0" applyFont="1" applyFill="1" applyBorder="1" applyAlignment="1">
      <alignment horizontal="left"/>
    </xf>
    <xf numFmtId="0" fontId="36" fillId="3" borderId="98" xfId="0" applyFont="1" applyFill="1" applyBorder="1" applyAlignment="1">
      <alignment horizontal="left"/>
    </xf>
    <xf numFmtId="0" fontId="36" fillId="3" borderId="104" xfId="0" applyFont="1" applyFill="1" applyBorder="1" applyAlignment="1">
      <alignment horizontal="left"/>
    </xf>
    <xf numFmtId="0" fontId="20" fillId="3" borderId="98" xfId="0" applyFont="1" applyFill="1" applyBorder="1" applyAlignment="1">
      <alignment horizontal="center"/>
    </xf>
    <xf numFmtId="0" fontId="20" fillId="3" borderId="92" xfId="0" applyFont="1" applyFill="1" applyBorder="1" applyAlignment="1">
      <alignment horizontal="center"/>
    </xf>
    <xf numFmtId="0" fontId="15" fillId="4" borderId="3" xfId="0" applyFont="1" applyFill="1" applyBorder="1" applyAlignment="1">
      <alignment horizontal="center" vertical="center"/>
    </xf>
    <xf numFmtId="0" fontId="15" fillId="4" borderId="50" xfId="0" applyFont="1" applyFill="1" applyBorder="1" applyAlignment="1">
      <alignment horizontal="center" vertical="center"/>
    </xf>
    <xf numFmtId="1" fontId="15" fillId="3" borderId="15" xfId="0" applyNumberFormat="1" applyFont="1" applyFill="1" applyBorder="1" applyAlignment="1">
      <alignment horizontal="center" vertical="top"/>
    </xf>
    <xf numFmtId="1" fontId="15" fillId="3" borderId="11" xfId="0" applyNumberFormat="1" applyFont="1" applyFill="1" applyBorder="1" applyAlignment="1">
      <alignment horizontal="center" vertical="top"/>
    </xf>
    <xf numFmtId="0" fontId="20" fillId="3" borderId="88" xfId="0" applyFont="1" applyFill="1" applyBorder="1" applyAlignment="1">
      <alignment horizontal="center"/>
    </xf>
    <xf numFmtId="0" fontId="20" fillId="3" borderId="51" xfId="0" applyFont="1" applyFill="1" applyBorder="1" applyAlignment="1">
      <alignment horizontal="center"/>
    </xf>
    <xf numFmtId="0" fontId="15" fillId="4" borderId="9" xfId="0" applyFont="1" applyFill="1" applyBorder="1" applyAlignment="1">
      <alignment horizontal="center" vertical="center"/>
    </xf>
    <xf numFmtId="0" fontId="15" fillId="4" borderId="99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9" fillId="0" borderId="85" xfId="0" applyFont="1" applyBorder="1" applyAlignment="1">
      <alignment horizontal="left"/>
    </xf>
    <xf numFmtId="0" fontId="19" fillId="0" borderId="6" xfId="0" applyFont="1" applyBorder="1" applyAlignment="1">
      <alignment horizontal="left"/>
    </xf>
    <xf numFmtId="0" fontId="19" fillId="0" borderId="3" xfId="0" applyFont="1" applyBorder="1" applyAlignment="1">
      <alignment horizontal="left"/>
    </xf>
    <xf numFmtId="0" fontId="14" fillId="3" borderId="0" xfId="0" applyFont="1" applyFill="1" applyAlignment="1">
      <alignment horizontal="center" vertical="center"/>
    </xf>
    <xf numFmtId="0" fontId="36" fillId="3" borderId="102" xfId="0" applyFont="1" applyFill="1" applyBorder="1" applyAlignment="1">
      <alignment horizontal="left"/>
    </xf>
    <xf numFmtId="0" fontId="36" fillId="3" borderId="23" xfId="0" applyFont="1" applyFill="1" applyBorder="1" applyAlignment="1">
      <alignment horizontal="left"/>
    </xf>
    <xf numFmtId="0" fontId="36" fillId="3" borderId="22" xfId="0" applyFont="1" applyFill="1" applyBorder="1" applyAlignment="1">
      <alignment horizontal="left"/>
    </xf>
    <xf numFmtId="0" fontId="16" fillId="4" borderId="93" xfId="0" applyFont="1" applyFill="1" applyBorder="1" applyAlignment="1">
      <alignment horizontal="left"/>
    </xf>
    <xf numFmtId="0" fontId="16" fillId="4" borderId="81" xfId="0" applyFont="1" applyFill="1" applyBorder="1" applyAlignment="1">
      <alignment horizontal="left"/>
    </xf>
    <xf numFmtId="0" fontId="17" fillId="4" borderId="103" xfId="0" applyFont="1" applyFill="1" applyBorder="1" applyAlignment="1">
      <alignment horizontal="left"/>
    </xf>
    <xf numFmtId="0" fontId="17" fillId="4" borderId="20" xfId="0" applyFont="1" applyFill="1" applyBorder="1" applyAlignment="1">
      <alignment horizontal="left"/>
    </xf>
    <xf numFmtId="0" fontId="16" fillId="4" borderId="26" xfId="0" applyFont="1" applyFill="1" applyBorder="1" applyAlignment="1">
      <alignment horizontal="left"/>
    </xf>
    <xf numFmtId="0" fontId="17" fillId="0" borderId="94" xfId="0" applyFont="1" applyBorder="1" applyAlignment="1">
      <alignment horizontal="left"/>
    </xf>
    <xf numFmtId="0" fontId="17" fillId="0" borderId="16" xfId="0" applyFont="1" applyBorder="1" applyAlignment="1">
      <alignment horizontal="left"/>
    </xf>
    <xf numFmtId="0" fontId="17" fillId="0" borderId="17" xfId="0" applyFont="1" applyBorder="1" applyAlignment="1">
      <alignment horizontal="left"/>
    </xf>
    <xf numFmtId="0" fontId="17" fillId="4" borderId="94" xfId="0" applyFont="1" applyFill="1" applyBorder="1" applyAlignment="1">
      <alignment horizontal="left"/>
    </xf>
    <xf numFmtId="0" fontId="17" fillId="4" borderId="16" xfId="0" applyFont="1" applyFill="1" applyBorder="1" applyAlignment="1">
      <alignment horizontal="left"/>
    </xf>
    <xf numFmtId="0" fontId="17" fillId="4" borderId="17" xfId="0" applyFont="1" applyFill="1" applyBorder="1" applyAlignment="1">
      <alignment horizontal="left"/>
    </xf>
    <xf numFmtId="0" fontId="36" fillId="3" borderId="105" xfId="0" applyFont="1" applyFill="1" applyBorder="1" applyAlignment="1">
      <alignment horizontal="left"/>
    </xf>
    <xf numFmtId="0" fontId="16" fillId="4" borderId="20" xfId="0" applyFont="1" applyFill="1" applyBorder="1" applyAlignment="1">
      <alignment horizontal="left"/>
    </xf>
    <xf numFmtId="0" fontId="17" fillId="3" borderId="21" xfId="0" applyFont="1" applyFill="1" applyBorder="1" applyAlignment="1">
      <alignment horizontal="left"/>
    </xf>
    <xf numFmtId="0" fontId="17" fillId="0" borderId="94" xfId="0" applyFont="1" applyBorder="1" applyAlignment="1" applyProtection="1">
      <alignment horizontal="left"/>
    </xf>
    <xf numFmtId="0" fontId="17" fillId="0" borderId="16" xfId="0" applyFont="1" applyBorder="1" applyAlignment="1" applyProtection="1">
      <alignment horizontal="left"/>
    </xf>
    <xf numFmtId="0" fontId="15" fillId="0" borderId="25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15" fillId="4" borderId="9" xfId="0" applyFont="1" applyFill="1" applyBorder="1" applyAlignment="1">
      <alignment horizontal="center" vertical="center" wrapText="1"/>
    </xf>
    <xf numFmtId="0" fontId="15" fillId="4" borderId="99" xfId="0" applyFont="1" applyFill="1" applyBorder="1" applyAlignment="1">
      <alignment horizontal="center" vertical="center" wrapText="1"/>
    </xf>
    <xf numFmtId="0" fontId="16" fillId="4" borderId="78" xfId="0" applyFont="1" applyFill="1" applyBorder="1" applyAlignment="1">
      <alignment horizontal="left"/>
    </xf>
    <xf numFmtId="0" fontId="16" fillId="4" borderId="83" xfId="0" applyFont="1" applyFill="1" applyBorder="1" applyAlignment="1">
      <alignment horizontal="left"/>
    </xf>
    <xf numFmtId="0" fontId="16" fillId="4" borderId="85" xfId="0" applyFont="1" applyFill="1" applyBorder="1" applyAlignment="1">
      <alignment horizontal="left"/>
    </xf>
    <xf numFmtId="0" fontId="16" fillId="4" borderId="95" xfId="0" applyFont="1" applyFill="1" applyBorder="1" applyAlignment="1">
      <alignment horizontal="left"/>
    </xf>
    <xf numFmtId="0" fontId="19" fillId="4" borderId="78" xfId="0" applyFont="1" applyFill="1" applyBorder="1" applyAlignment="1">
      <alignment horizontal="left"/>
    </xf>
    <xf numFmtId="0" fontId="19" fillId="4" borderId="29" xfId="0" applyFont="1" applyFill="1" applyBorder="1" applyAlignment="1">
      <alignment horizontal="left"/>
    </xf>
    <xf numFmtId="0" fontId="19" fillId="4" borderId="0" xfId="0" applyFont="1" applyFill="1" applyBorder="1" applyAlignment="1">
      <alignment horizontal="center"/>
    </xf>
    <xf numFmtId="0" fontId="19" fillId="0" borderId="96" xfId="0" applyFont="1" applyBorder="1" applyAlignment="1">
      <alignment horizontal="left"/>
    </xf>
    <xf numFmtId="0" fontId="19" fillId="0" borderId="97" xfId="0" applyFont="1" applyBorder="1" applyAlignment="1">
      <alignment horizontal="left"/>
    </xf>
    <xf numFmtId="0" fontId="19" fillId="0" borderId="50" xfId="0" applyFont="1" applyBorder="1" applyAlignment="1">
      <alignment horizontal="left"/>
    </xf>
    <xf numFmtId="0" fontId="36" fillId="3" borderId="93" xfId="0" applyFont="1" applyFill="1" applyBorder="1" applyAlignment="1">
      <alignment horizontal="left"/>
    </xf>
    <xf numFmtId="0" fontId="36" fillId="3" borderId="20" xfId="0" applyFont="1" applyFill="1" applyBorder="1" applyAlignment="1">
      <alignment horizontal="left"/>
    </xf>
    <xf numFmtId="0" fontId="19" fillId="4" borderId="26" xfId="0" applyFont="1" applyFill="1" applyBorder="1" applyAlignment="1">
      <alignment horizontal="left"/>
    </xf>
    <xf numFmtId="0" fontId="19" fillId="4" borderId="16" xfId="0" applyFont="1" applyFill="1" applyBorder="1" applyAlignment="1">
      <alignment horizontal="left"/>
    </xf>
    <xf numFmtId="0" fontId="21" fillId="0" borderId="0" xfId="0" applyFont="1" applyFill="1" applyBorder="1" applyAlignment="1">
      <alignment horizontal="left" vertical="center"/>
    </xf>
    <xf numFmtId="0" fontId="19" fillId="3" borderId="85" xfId="0" applyFont="1" applyFill="1" applyBorder="1" applyAlignment="1">
      <alignment horizontal="left"/>
    </xf>
    <xf numFmtId="0" fontId="19" fillId="3" borderId="6" xfId="0" applyFont="1" applyFill="1" applyBorder="1" applyAlignment="1">
      <alignment horizontal="left"/>
    </xf>
    <xf numFmtId="0" fontId="19" fillId="3" borderId="3" xfId="0" applyFont="1" applyFill="1" applyBorder="1" applyAlignment="1">
      <alignment horizontal="left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00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100" xfId="0" applyFont="1" applyBorder="1" applyAlignment="1">
      <alignment horizontal="center" vertical="center"/>
    </xf>
    <xf numFmtId="0" fontId="17" fillId="3" borderId="94" xfId="0" applyFont="1" applyFill="1" applyBorder="1" applyAlignment="1" applyProtection="1">
      <alignment horizontal="left"/>
    </xf>
    <xf numFmtId="0" fontId="17" fillId="3" borderId="16" xfId="0" applyFont="1" applyFill="1" applyBorder="1" applyAlignment="1" applyProtection="1">
      <alignment horizontal="left"/>
    </xf>
    <xf numFmtId="0" fontId="17" fillId="3" borderId="17" xfId="0" applyFont="1" applyFill="1" applyBorder="1" applyAlignment="1" applyProtection="1">
      <alignment horizontal="left"/>
    </xf>
    <xf numFmtId="168" fontId="17" fillId="3" borderId="101" xfId="0" applyNumberFormat="1" applyFont="1" applyFill="1" applyBorder="1" applyAlignment="1">
      <alignment horizontal="left"/>
    </xf>
    <xf numFmtId="168" fontId="17" fillId="3" borderId="29" xfId="0" applyNumberFormat="1" applyFont="1" applyFill="1" applyBorder="1" applyAlignment="1">
      <alignment horizontal="left"/>
    </xf>
    <xf numFmtId="0" fontId="16" fillId="4" borderId="29" xfId="0" applyFont="1" applyFill="1" applyBorder="1" applyAlignment="1">
      <alignment horizontal="left"/>
    </xf>
    <xf numFmtId="0" fontId="17" fillId="3" borderId="101" xfId="0" applyFont="1" applyFill="1" applyBorder="1" applyAlignment="1" applyProtection="1">
      <alignment horizontal="left"/>
    </xf>
    <xf numFmtId="0" fontId="17" fillId="3" borderId="29" xfId="0" applyFont="1" applyFill="1" applyBorder="1" applyAlignment="1" applyProtection="1">
      <alignment horizontal="left"/>
    </xf>
    <xf numFmtId="0" fontId="17" fillId="3" borderId="24" xfId="0" applyFont="1" applyFill="1" applyBorder="1" applyAlignment="1" applyProtection="1">
      <alignment horizontal="left"/>
    </xf>
    <xf numFmtId="0" fontId="19" fillId="3" borderId="25" xfId="0" applyFont="1" applyFill="1" applyBorder="1" applyAlignment="1">
      <alignment horizontal="left"/>
    </xf>
    <xf numFmtId="0" fontId="19" fillId="3" borderId="9" xfId="0" applyFont="1" applyFill="1" applyBorder="1" applyAlignment="1">
      <alignment horizontal="left"/>
    </xf>
    <xf numFmtId="0" fontId="15" fillId="0" borderId="10" xfId="0" applyFont="1" applyFill="1" applyBorder="1" applyAlignment="1">
      <alignment horizontal="center"/>
    </xf>
    <xf numFmtId="0" fontId="15" fillId="0" borderId="86" xfId="0" applyFont="1" applyFill="1" applyBorder="1" applyAlignment="1">
      <alignment horizontal="center"/>
    </xf>
    <xf numFmtId="0" fontId="19" fillId="0" borderId="26" xfId="0" applyFont="1" applyBorder="1" applyAlignment="1">
      <alignment horizontal="left"/>
    </xf>
    <xf numFmtId="0" fontId="19" fillId="0" borderId="16" xfId="0" applyFont="1" applyBorder="1" applyAlignment="1">
      <alignment horizontal="left"/>
    </xf>
    <xf numFmtId="0" fontId="19" fillId="0" borderId="88" xfId="0" applyFont="1" applyBorder="1" applyAlignment="1">
      <alignment horizontal="left"/>
    </xf>
    <xf numFmtId="0" fontId="19" fillId="0" borderId="89" xfId="0" applyFont="1" applyBorder="1" applyAlignment="1">
      <alignment horizontal="left"/>
    </xf>
    <xf numFmtId="0" fontId="19" fillId="0" borderId="51" xfId="0" applyFont="1" applyBorder="1" applyAlignment="1">
      <alignment horizontal="left"/>
    </xf>
    <xf numFmtId="0" fontId="19" fillId="0" borderId="28" xfId="0" applyFont="1" applyFill="1" applyBorder="1" applyAlignment="1">
      <alignment horizontal="center"/>
    </xf>
    <xf numFmtId="0" fontId="19" fillId="0" borderId="4" xfId="0" applyFont="1" applyFill="1" applyBorder="1" applyAlignment="1">
      <alignment horizontal="center"/>
    </xf>
    <xf numFmtId="0" fontId="31" fillId="4" borderId="80" xfId="0" applyFont="1" applyFill="1" applyBorder="1" applyAlignment="1" applyProtection="1">
      <alignment horizontal="center" vertical="center"/>
      <protection locked="0"/>
    </xf>
    <xf numFmtId="0" fontId="31" fillId="4" borderId="107" xfId="0" applyFont="1" applyFill="1" applyBorder="1" applyAlignment="1" applyProtection="1">
      <alignment horizontal="center" vertical="center"/>
      <protection locked="0"/>
    </xf>
    <xf numFmtId="0" fontId="1" fillId="0" borderId="80" xfId="0" applyFont="1" applyFill="1" applyBorder="1" applyAlignment="1">
      <alignment horizontal="center"/>
    </xf>
    <xf numFmtId="0" fontId="1" fillId="0" borderId="108" xfId="0" applyFont="1" applyFill="1" applyBorder="1" applyAlignment="1">
      <alignment horizontal="center"/>
    </xf>
    <xf numFmtId="0" fontId="1" fillId="0" borderId="107" xfId="0" applyFont="1" applyFill="1" applyBorder="1" applyAlignment="1">
      <alignment horizontal="center"/>
    </xf>
    <xf numFmtId="0" fontId="1" fillId="0" borderId="109" xfId="0" applyFont="1" applyBorder="1" applyAlignment="1">
      <alignment horizontal="center" vertical="center"/>
    </xf>
    <xf numFmtId="0" fontId="1" fillId="0" borderId="110" xfId="0" applyFont="1" applyBorder="1" applyAlignment="1">
      <alignment horizontal="center" vertical="center"/>
    </xf>
    <xf numFmtId="0" fontId="1" fillId="0" borderId="111" xfId="0" applyFont="1" applyBorder="1" applyAlignment="1">
      <alignment horizontal="center" vertical="center"/>
    </xf>
    <xf numFmtId="0" fontId="1" fillId="0" borderId="80" xfId="0" applyFont="1" applyBorder="1" applyAlignment="1">
      <alignment horizontal="center"/>
    </xf>
    <xf numFmtId="0" fontId="1" fillId="0" borderId="108" xfId="0" applyFont="1" applyBorder="1" applyAlignment="1">
      <alignment horizontal="center"/>
    </xf>
    <xf numFmtId="0" fontId="1" fillId="0" borderId="107" xfId="0" applyFont="1" applyBorder="1" applyAlignment="1">
      <alignment horizontal="center"/>
    </xf>
    <xf numFmtId="0" fontId="12" fillId="0" borderId="80" xfId="0" applyFont="1" applyBorder="1" applyAlignment="1">
      <alignment horizontal="center"/>
    </xf>
    <xf numFmtId="0" fontId="0" fillId="0" borderId="108" xfId="0" applyBorder="1" applyAlignment="1">
      <alignment horizontal="center"/>
    </xf>
    <xf numFmtId="0" fontId="0" fillId="0" borderId="107" xfId="0" applyBorder="1" applyAlignment="1">
      <alignment horizontal="center"/>
    </xf>
    <xf numFmtId="0" fontId="1" fillId="0" borderId="68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1" fillId="0" borderId="69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9" fillId="0" borderId="68" xfId="0" applyFont="1" applyBorder="1" applyAlignment="1">
      <alignment horizontal="center" vertical="center"/>
    </xf>
    <xf numFmtId="0" fontId="9" fillId="0" borderId="45" xfId="0" applyFont="1" applyBorder="1" applyAlignment="1">
      <alignment horizontal="center" vertical="center"/>
    </xf>
    <xf numFmtId="0" fontId="9" fillId="0" borderId="74" xfId="0" applyFont="1" applyBorder="1" applyAlignment="1">
      <alignment horizontal="center" vertical="center"/>
    </xf>
    <xf numFmtId="0" fontId="9" fillId="0" borderId="69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75" xfId="0" applyFont="1" applyBorder="1" applyAlignment="1">
      <alignment horizontal="center" vertical="center"/>
    </xf>
    <xf numFmtId="0" fontId="12" fillId="0" borderId="68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69" xfId="0" applyFont="1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1" fillId="4" borderId="0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center"/>
    </xf>
    <xf numFmtId="165" fontId="12" fillId="4" borderId="37" xfId="0" applyNumberFormat="1" applyFont="1" applyFill="1" applyBorder="1" applyAlignment="1">
      <alignment horizontal="center"/>
    </xf>
    <xf numFmtId="165" fontId="12" fillId="4" borderId="0" xfId="0" applyNumberFormat="1" applyFont="1" applyFill="1" applyBorder="1" applyAlignment="1">
      <alignment horizontal="center"/>
    </xf>
    <xf numFmtId="165" fontId="12" fillId="4" borderId="38" xfId="0" applyNumberFormat="1" applyFont="1" applyFill="1" applyBorder="1" applyAlignment="1">
      <alignment horizontal="center"/>
    </xf>
    <xf numFmtId="1" fontId="12" fillId="4" borderId="37" xfId="0" applyNumberFormat="1" applyFont="1" applyFill="1" applyBorder="1" applyAlignment="1">
      <alignment horizontal="center"/>
    </xf>
    <xf numFmtId="1" fontId="12" fillId="4" borderId="38" xfId="0" applyNumberFormat="1" applyFont="1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38" xfId="0" applyFill="1" applyBorder="1" applyAlignment="1">
      <alignment horizontal="center"/>
    </xf>
    <xf numFmtId="0" fontId="12" fillId="4" borderId="37" xfId="0" applyFont="1" applyFill="1" applyBorder="1" applyAlignment="1">
      <alignment horizontal="center"/>
    </xf>
    <xf numFmtId="0" fontId="12" fillId="4" borderId="0" xfId="0" applyFont="1" applyFill="1" applyBorder="1" applyAlignment="1">
      <alignment horizontal="center"/>
    </xf>
    <xf numFmtId="0" fontId="12" fillId="4" borderId="38" xfId="0" applyFont="1" applyFill="1" applyBorder="1" applyAlignment="1">
      <alignment horizontal="center"/>
    </xf>
    <xf numFmtId="0" fontId="21" fillId="4" borderId="0" xfId="0" applyFont="1" applyFill="1" applyBorder="1" applyAlignment="1">
      <alignment horizontal="center" vertical="center"/>
    </xf>
    <xf numFmtId="2" fontId="12" fillId="4" borderId="37" xfId="0" applyNumberFormat="1" applyFont="1" applyFill="1" applyBorder="1" applyAlignment="1">
      <alignment horizontal="center"/>
    </xf>
    <xf numFmtId="2" fontId="12" fillId="4" borderId="38" xfId="0" applyNumberFormat="1" applyFont="1" applyFill="1" applyBorder="1" applyAlignment="1">
      <alignment horizontal="center"/>
    </xf>
    <xf numFmtId="1" fontId="12" fillId="4" borderId="0" xfId="0" applyNumberFormat="1" applyFont="1" applyFill="1" applyBorder="1" applyAlignment="1">
      <alignment horizontal="center"/>
    </xf>
    <xf numFmtId="2" fontId="12" fillId="4" borderId="0" xfId="0" applyNumberFormat="1" applyFont="1" applyFill="1" applyBorder="1" applyAlignment="1">
      <alignment horizontal="center"/>
    </xf>
    <xf numFmtId="0" fontId="34" fillId="4" borderId="80" xfId="0" applyFont="1" applyFill="1" applyBorder="1" applyAlignment="1">
      <alignment horizontal="left" vertical="center"/>
    </xf>
    <xf numFmtId="0" fontId="34" fillId="4" borderId="108" xfId="0" applyFont="1" applyFill="1" applyBorder="1" applyAlignment="1">
      <alignment horizontal="left" vertical="center"/>
    </xf>
    <xf numFmtId="0" fontId="35" fillId="4" borderId="108" xfId="0" applyFont="1" applyFill="1" applyBorder="1" applyAlignment="1">
      <alignment horizontal="left" vertical="center"/>
    </xf>
    <xf numFmtId="0" fontId="35" fillId="4" borderId="107" xfId="0" applyFont="1" applyFill="1" applyBorder="1" applyAlignment="1">
      <alignment horizontal="left" vertical="center"/>
    </xf>
    <xf numFmtId="0" fontId="20" fillId="4" borderId="0" xfId="0" applyFont="1" applyFill="1" applyBorder="1" applyAlignment="1">
      <alignment horizontal="center"/>
    </xf>
    <xf numFmtId="0" fontId="20" fillId="4" borderId="38" xfId="0" applyFont="1" applyFill="1" applyBorder="1" applyAlignment="1">
      <alignment horizontal="center"/>
    </xf>
    <xf numFmtId="0" fontId="20" fillId="4" borderId="37" xfId="0" applyFont="1" applyFill="1" applyBorder="1" applyAlignment="1">
      <alignment horizontal="center"/>
    </xf>
    <xf numFmtId="0" fontId="26" fillId="4" borderId="0" xfId="0" applyFont="1" applyFill="1" applyBorder="1" applyAlignment="1">
      <alignment horizontal="left" vertical="center"/>
    </xf>
    <xf numFmtId="0" fontId="26" fillId="4" borderId="38" xfId="0" applyFont="1" applyFill="1" applyBorder="1" applyAlignment="1">
      <alignment horizontal="left" vertical="center"/>
    </xf>
    <xf numFmtId="164" fontId="12" fillId="4" borderId="37" xfId="0" applyNumberFormat="1" applyFont="1" applyFill="1" applyBorder="1" applyAlignment="1">
      <alignment horizontal="center"/>
    </xf>
    <xf numFmtId="164" fontId="12" fillId="4" borderId="38" xfId="0" applyNumberFormat="1" applyFont="1" applyFill="1" applyBorder="1" applyAlignment="1">
      <alignment horizontal="center"/>
    </xf>
    <xf numFmtId="164" fontId="12" fillId="4" borderId="0" xfId="0" applyNumberFormat="1" applyFont="1" applyFill="1" applyBorder="1" applyAlignment="1">
      <alignment horizontal="center"/>
    </xf>
    <xf numFmtId="0" fontId="34" fillId="4" borderId="107" xfId="0" applyFont="1" applyFill="1" applyBorder="1" applyAlignment="1">
      <alignment horizontal="left" vertical="center"/>
    </xf>
    <xf numFmtId="165" fontId="12" fillId="0" borderId="37" xfId="0" applyNumberFormat="1" applyFont="1" applyFill="1" applyBorder="1" applyAlignment="1">
      <alignment horizontal="center"/>
    </xf>
    <xf numFmtId="165" fontId="12" fillId="0" borderId="38" xfId="0" applyNumberFormat="1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166" fontId="12" fillId="4" borderId="37" xfId="0" applyNumberFormat="1" applyFont="1" applyFill="1" applyBorder="1" applyAlignment="1">
      <alignment horizontal="center"/>
    </xf>
    <xf numFmtId="166" fontId="12" fillId="4" borderId="38" xfId="0" applyNumberFormat="1" applyFont="1" applyFill="1" applyBorder="1" applyAlignment="1">
      <alignment horizontal="center"/>
    </xf>
    <xf numFmtId="166" fontId="12" fillId="4" borderId="0" xfId="0" applyNumberFormat="1" applyFont="1" applyFill="1" applyBorder="1" applyAlignment="1">
      <alignment horizontal="center"/>
    </xf>
    <xf numFmtId="170" fontId="12" fillId="4" borderId="37" xfId="0" applyNumberFormat="1" applyFont="1" applyFill="1" applyBorder="1" applyAlignment="1">
      <alignment horizontal="center"/>
    </xf>
    <xf numFmtId="170" fontId="12" fillId="4" borderId="38" xfId="0" applyNumberFormat="1" applyFont="1" applyFill="1" applyBorder="1" applyAlignment="1">
      <alignment horizontal="center"/>
    </xf>
    <xf numFmtId="170" fontId="12" fillId="4" borderId="0" xfId="0" applyNumberFormat="1" applyFont="1" applyFill="1" applyBorder="1" applyAlignment="1">
      <alignment horizontal="center"/>
    </xf>
    <xf numFmtId="0" fontId="13" fillId="4" borderId="31" xfId="0" applyFont="1" applyFill="1" applyBorder="1" applyAlignment="1">
      <alignment horizontal="center"/>
    </xf>
    <xf numFmtId="0" fontId="13" fillId="4" borderId="0" xfId="0" applyFont="1" applyFill="1" applyBorder="1" applyAlignment="1">
      <alignment horizontal="center" vertical="top"/>
    </xf>
    <xf numFmtId="0" fontId="12" fillId="4" borderId="0" xfId="0" applyFont="1" applyFill="1" applyBorder="1" applyAlignment="1">
      <alignment horizontal="left"/>
    </xf>
    <xf numFmtId="0" fontId="2" fillId="4" borderId="68" xfId="0" applyFont="1" applyFill="1" applyBorder="1" applyAlignment="1">
      <alignment horizontal="center"/>
    </xf>
    <xf numFmtId="0" fontId="2" fillId="4" borderId="45" xfId="0" applyFont="1" applyFill="1" applyBorder="1" applyAlignment="1">
      <alignment horizontal="center"/>
    </xf>
    <xf numFmtId="0" fontId="2" fillId="4" borderId="74" xfId="0" applyFont="1" applyFill="1" applyBorder="1" applyAlignment="1">
      <alignment horizontal="center"/>
    </xf>
    <xf numFmtId="0" fontId="2" fillId="4" borderId="69" xfId="0" applyFont="1" applyFill="1" applyBorder="1" applyAlignment="1">
      <alignment horizontal="center"/>
    </xf>
    <xf numFmtId="0" fontId="2" fillId="4" borderId="39" xfId="0" applyFont="1" applyFill="1" applyBorder="1" applyAlignment="1">
      <alignment horizontal="center"/>
    </xf>
    <xf numFmtId="0" fontId="2" fillId="4" borderId="75" xfId="0" applyFont="1" applyFill="1" applyBorder="1" applyAlignment="1">
      <alignment horizontal="center"/>
    </xf>
    <xf numFmtId="169" fontId="12" fillId="4" borderId="0" xfId="0" applyNumberFormat="1" applyFont="1" applyFill="1" applyBorder="1" applyAlignment="1">
      <alignment horizontal="left"/>
    </xf>
    <xf numFmtId="0" fontId="13" fillId="4" borderId="39" xfId="0" applyFont="1" applyFill="1" applyBorder="1" applyAlignment="1">
      <alignment horizontal="center" vertical="top"/>
    </xf>
    <xf numFmtId="0" fontId="1" fillId="4" borderId="0" xfId="0" applyFont="1" applyFill="1" applyBorder="1" applyAlignment="1">
      <alignment horizontal="left"/>
    </xf>
    <xf numFmtId="0" fontId="12" fillId="4" borderId="41" xfId="0" applyFont="1" applyFill="1" applyBorder="1" applyAlignment="1">
      <alignment horizontal="center"/>
    </xf>
    <xf numFmtId="0" fontId="15" fillId="4" borderId="37" xfId="0" applyFont="1" applyFill="1" applyBorder="1" applyAlignment="1">
      <alignment horizontal="center"/>
    </xf>
    <xf numFmtId="0" fontId="15" fillId="4" borderId="0" xfId="0" applyFont="1" applyFill="1" applyBorder="1" applyAlignment="1">
      <alignment horizontal="center"/>
    </xf>
    <xf numFmtId="0" fontId="15" fillId="4" borderId="38" xfId="0" applyFont="1" applyFill="1" applyBorder="1" applyAlignment="1">
      <alignment horizontal="center"/>
    </xf>
    <xf numFmtId="1" fontId="0" fillId="4" borderId="38" xfId="0" applyNumberFormat="1" applyFill="1" applyBorder="1" applyAlignment="1">
      <alignment horizontal="center"/>
    </xf>
    <xf numFmtId="1" fontId="0" fillId="4" borderId="37" xfId="0" applyNumberFormat="1" applyFill="1" applyBorder="1" applyAlignment="1">
      <alignment horizontal="center"/>
    </xf>
    <xf numFmtId="1" fontId="0" fillId="4" borderId="0" xfId="0" applyNumberFormat="1" applyFill="1" applyBorder="1" applyAlignment="1">
      <alignment horizontal="center"/>
    </xf>
    <xf numFmtId="2" fontId="0" fillId="4" borderId="37" xfId="0" applyNumberFormat="1" applyFill="1" applyBorder="1" applyAlignment="1">
      <alignment horizontal="center"/>
    </xf>
    <xf numFmtId="2" fontId="0" fillId="4" borderId="38" xfId="0" applyNumberFormat="1" applyFill="1" applyBorder="1" applyAlignment="1">
      <alignment horizontal="center"/>
    </xf>
    <xf numFmtId="164" fontId="0" fillId="4" borderId="37" xfId="0" applyNumberFormat="1" applyFill="1" applyBorder="1" applyAlignment="1">
      <alignment horizontal="center"/>
    </xf>
    <xf numFmtId="164" fontId="0" fillId="4" borderId="38" xfId="0" applyNumberFormat="1" applyFill="1" applyBorder="1" applyAlignment="1">
      <alignment horizontal="center"/>
    </xf>
    <xf numFmtId="164" fontId="0" fillId="4" borderId="0" xfId="0" applyNumberFormat="1" applyFill="1" applyBorder="1" applyAlignment="1">
      <alignment horizontal="center"/>
    </xf>
    <xf numFmtId="165" fontId="0" fillId="4" borderId="37" xfId="0" applyNumberFormat="1" applyFill="1" applyBorder="1" applyAlignment="1">
      <alignment horizontal="center"/>
    </xf>
    <xf numFmtId="165" fontId="0" fillId="4" borderId="38" xfId="0" applyNumberFormat="1" applyFill="1" applyBorder="1" applyAlignment="1">
      <alignment horizontal="center"/>
    </xf>
    <xf numFmtId="165" fontId="0" fillId="4" borderId="0" xfId="0" applyNumberFormat="1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0" fontId="27" fillId="4" borderId="45" xfId="0" applyFont="1" applyFill="1" applyBorder="1" applyAlignment="1">
      <alignment horizontal="right"/>
    </xf>
    <xf numFmtId="0" fontId="27" fillId="4" borderId="46" xfId="0" applyFont="1" applyFill="1" applyBorder="1" applyAlignment="1">
      <alignment horizontal="right"/>
    </xf>
    <xf numFmtId="0" fontId="27" fillId="4" borderId="0" xfId="0" applyFont="1" applyFill="1" applyBorder="1" applyAlignment="1">
      <alignment horizontal="right"/>
    </xf>
    <xf numFmtId="0" fontId="27" fillId="4" borderId="38" xfId="0" applyFont="1" applyFill="1" applyBorder="1" applyAlignment="1">
      <alignment horizontal="right"/>
    </xf>
    <xf numFmtId="0" fontId="27" fillId="4" borderId="39" xfId="0" applyFont="1" applyFill="1" applyBorder="1" applyAlignment="1">
      <alignment horizontal="right"/>
    </xf>
    <xf numFmtId="0" fontId="1" fillId="4" borderId="27" xfId="0" applyFont="1" applyFill="1" applyBorder="1" applyAlignment="1">
      <alignment horizontal="center"/>
    </xf>
    <xf numFmtId="0" fontId="34" fillId="4" borderId="67" xfId="0" applyFont="1" applyFill="1" applyBorder="1" applyAlignment="1">
      <alignment horizontal="left" vertical="center"/>
    </xf>
    <xf numFmtId="0" fontId="34" fillId="4" borderId="67" xfId="0" applyFont="1" applyFill="1" applyBorder="1" applyAlignment="1">
      <alignment horizontal="center" vertical="center"/>
    </xf>
    <xf numFmtId="0" fontId="15" fillId="4" borderId="0" xfId="0" applyFont="1" applyFill="1" applyBorder="1" applyAlignment="1">
      <alignment horizontal="center" vertical="center" wrapText="1"/>
    </xf>
    <xf numFmtId="165" fontId="6" fillId="0" borderId="16" xfId="0" applyNumberFormat="1" applyFont="1" applyBorder="1" applyAlignment="1">
      <alignment horizontal="center"/>
    </xf>
    <xf numFmtId="2" fontId="6" fillId="0" borderId="58" xfId="0" applyNumberFormat="1" applyFont="1" applyBorder="1" applyAlignment="1">
      <alignment horizontal="center"/>
    </xf>
    <xf numFmtId="2" fontId="6" fillId="0" borderId="16" xfId="0" applyNumberFormat="1" applyFont="1" applyBorder="1" applyAlignment="1">
      <alignment horizontal="center"/>
    </xf>
    <xf numFmtId="1" fontId="6" fillId="0" borderId="16" xfId="0" applyNumberFormat="1" applyFont="1" applyBorder="1" applyAlignment="1">
      <alignment horizontal="center"/>
    </xf>
    <xf numFmtId="0" fontId="37" fillId="3" borderId="68" xfId="0" applyFont="1" applyFill="1" applyBorder="1" applyAlignment="1">
      <alignment horizontal="center"/>
    </xf>
    <xf numFmtId="0" fontId="37" fillId="3" borderId="45" xfId="0" applyFont="1" applyFill="1" applyBorder="1" applyAlignment="1">
      <alignment horizontal="center"/>
    </xf>
    <xf numFmtId="0" fontId="37" fillId="3" borderId="74" xfId="0" applyFont="1" applyFill="1" applyBorder="1" applyAlignment="1">
      <alignment horizontal="center"/>
    </xf>
    <xf numFmtId="0" fontId="37" fillId="3" borderId="0" xfId="0" applyFont="1" applyFill="1" applyBorder="1" applyAlignment="1">
      <alignment horizontal="center"/>
    </xf>
    <xf numFmtId="0" fontId="6" fillId="0" borderId="108" xfId="0" applyFont="1" applyBorder="1" applyAlignment="1">
      <alignment horizontal="center"/>
    </xf>
    <xf numFmtId="0" fontId="6" fillId="0" borderId="10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9" fillId="0" borderId="74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1" fontId="6" fillId="0" borderId="55" xfId="0" applyNumberFormat="1" applyFont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9" fillId="0" borderId="33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9" fillId="0" borderId="33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15" fillId="4" borderId="0" xfId="0" applyFont="1" applyFill="1" applyBorder="1" applyAlignment="1">
      <alignment horizontal="left"/>
    </xf>
    <xf numFmtId="0" fontId="15" fillId="4" borderId="34" xfId="0" applyFont="1" applyFill="1" applyBorder="1" applyAlignment="1">
      <alignment horizontal="left"/>
    </xf>
    <xf numFmtId="0" fontId="9" fillId="0" borderId="35" xfId="0" applyFont="1" applyFill="1" applyBorder="1" applyAlignment="1">
      <alignment horizontal="left"/>
    </xf>
    <xf numFmtId="0" fontId="9" fillId="0" borderId="36" xfId="0" applyFont="1" applyFill="1" applyBorder="1" applyAlignment="1">
      <alignment horizontal="left"/>
    </xf>
    <xf numFmtId="0" fontId="15" fillId="4" borderId="36" xfId="0" applyFont="1" applyFill="1" applyBorder="1" applyAlignment="1">
      <alignment horizontal="left"/>
    </xf>
    <xf numFmtId="0" fontId="15" fillId="4" borderId="19" xfId="0" applyFont="1" applyFill="1" applyBorder="1" applyAlignment="1">
      <alignment horizontal="left"/>
    </xf>
    <xf numFmtId="0" fontId="23" fillId="0" borderId="30" xfId="0" applyFont="1" applyFill="1" applyBorder="1" applyAlignment="1">
      <alignment horizontal="center" vertical="center"/>
    </xf>
    <xf numFmtId="0" fontId="23" fillId="0" borderId="31" xfId="0" applyFont="1" applyFill="1" applyBorder="1" applyAlignment="1">
      <alignment horizontal="center" vertical="center"/>
    </xf>
    <xf numFmtId="0" fontId="23" fillId="0" borderId="32" xfId="0" applyFont="1" applyFill="1" applyBorder="1" applyAlignment="1">
      <alignment horizontal="center" vertical="center"/>
    </xf>
    <xf numFmtId="0" fontId="23" fillId="0" borderId="33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34" xfId="0" applyFont="1" applyFill="1" applyBorder="1" applyAlignment="1">
      <alignment horizontal="center" vertical="center"/>
    </xf>
    <xf numFmtId="0" fontId="23" fillId="0" borderId="35" xfId="0" applyFont="1" applyFill="1" applyBorder="1" applyAlignment="1">
      <alignment horizontal="center" vertical="center"/>
    </xf>
    <xf numFmtId="0" fontId="23" fillId="0" borderId="36" xfId="0" applyFont="1" applyFill="1" applyBorder="1" applyAlignment="1">
      <alignment horizontal="center" vertical="center"/>
    </xf>
    <xf numFmtId="0" fontId="23" fillId="0" borderId="19" xfId="0" applyFont="1" applyFill="1" applyBorder="1" applyAlignment="1">
      <alignment horizontal="center" vertical="center"/>
    </xf>
    <xf numFmtId="0" fontId="9" fillId="0" borderId="30" xfId="0" applyFont="1" applyFill="1" applyBorder="1" applyAlignment="1">
      <alignment horizontal="left"/>
    </xf>
    <xf numFmtId="0" fontId="9" fillId="0" borderId="31" xfId="0" applyFont="1" applyFill="1" applyBorder="1" applyAlignment="1">
      <alignment horizontal="left"/>
    </xf>
    <xf numFmtId="0" fontId="15" fillId="4" borderId="31" xfId="0" applyFont="1" applyFill="1" applyBorder="1" applyAlignment="1">
      <alignment horizontal="left"/>
    </xf>
    <xf numFmtId="168" fontId="15" fillId="4" borderId="31" xfId="0" applyNumberFormat="1" applyFont="1" applyFill="1" applyBorder="1" applyAlignment="1">
      <alignment horizontal="left"/>
    </xf>
    <xf numFmtId="168" fontId="15" fillId="4" borderId="32" xfId="0" applyNumberFormat="1" applyFont="1" applyFill="1" applyBorder="1" applyAlignment="1">
      <alignment horizontal="left"/>
    </xf>
    <xf numFmtId="0" fontId="12" fillId="0" borderId="55" xfId="0" applyFont="1" applyBorder="1" applyAlignment="1">
      <alignment horizontal="left"/>
    </xf>
    <xf numFmtId="0" fontId="12" fillId="0" borderId="56" xfId="0" applyFont="1" applyBorder="1" applyAlignment="1">
      <alignment horizontal="left"/>
    </xf>
    <xf numFmtId="0" fontId="12" fillId="0" borderId="16" xfId="0" applyFont="1" applyFill="1" applyBorder="1" applyAlignment="1">
      <alignment horizontal="left"/>
    </xf>
    <xf numFmtId="0" fontId="12" fillId="0" borderId="57" xfId="0" applyFont="1" applyFill="1" applyBorder="1" applyAlignment="1">
      <alignment horizontal="left"/>
    </xf>
    <xf numFmtId="0" fontId="12" fillId="0" borderId="16" xfId="0" applyFont="1" applyBorder="1" applyAlignment="1">
      <alignment horizontal="left"/>
    </xf>
    <xf numFmtId="0" fontId="12" fillId="0" borderId="57" xfId="0" applyFont="1" applyBorder="1" applyAlignment="1">
      <alignment horizontal="left"/>
    </xf>
    <xf numFmtId="0" fontId="12" fillId="0" borderId="58" xfId="0" quotePrefix="1" applyFont="1" applyFill="1" applyBorder="1" applyAlignment="1">
      <alignment horizontal="left"/>
    </xf>
    <xf numFmtId="0" fontId="12" fillId="0" borderId="59" xfId="0" applyFont="1" applyFill="1" applyBorder="1" applyAlignment="1">
      <alignment horizontal="left"/>
    </xf>
    <xf numFmtId="0" fontId="1" fillId="5" borderId="0" xfId="0" applyFont="1" applyFill="1" applyAlignment="1">
      <alignment horizontal="center"/>
    </xf>
    <xf numFmtId="0" fontId="2" fillId="0" borderId="0" xfId="0" applyFont="1" applyFill="1" applyAlignment="1"/>
    <xf numFmtId="0" fontId="3" fillId="0" borderId="0" xfId="0" applyFont="1" applyFill="1" applyAlignment="1">
      <alignment wrapText="1"/>
    </xf>
    <xf numFmtId="0" fontId="15" fillId="4" borderId="90" xfId="0" applyFont="1" applyFill="1" applyBorder="1" applyAlignment="1">
      <alignment horizontal="center" vertical="center"/>
    </xf>
    <xf numFmtId="1" fontId="15" fillId="0" borderId="28" xfId="0" applyNumberFormat="1" applyFont="1" applyBorder="1" applyAlignment="1">
      <alignment horizontal="center"/>
    </xf>
    <xf numFmtId="0" fontId="15" fillId="4" borderId="99" xfId="0" applyFont="1" applyFill="1" applyBorder="1" applyAlignment="1">
      <alignment horizontal="center"/>
    </xf>
    <xf numFmtId="0" fontId="15" fillId="4" borderId="10" xfId="0" applyFont="1" applyFill="1" applyBorder="1" applyAlignment="1">
      <alignment horizontal="center"/>
    </xf>
    <xf numFmtId="0" fontId="3" fillId="0" borderId="91" xfId="0" applyFont="1" applyBorder="1" applyAlignment="1">
      <alignment horizontal="left"/>
    </xf>
    <xf numFmtId="0" fontId="3" fillId="0" borderId="16" xfId="0" applyFont="1" applyBorder="1" applyAlignment="1">
      <alignment horizontal="left"/>
    </xf>
    <xf numFmtId="0" fontId="15" fillId="0" borderId="99" xfId="0" applyFont="1" applyFill="1" applyBorder="1" applyAlignment="1">
      <alignment horizontal="center"/>
    </xf>
    <xf numFmtId="0" fontId="15" fillId="0" borderId="34" xfId="0" applyFont="1" applyFill="1" applyBorder="1" applyAlignment="1"/>
    <xf numFmtId="0" fontId="19" fillId="6" borderId="85" xfId="0" applyFont="1" applyFill="1" applyBorder="1" applyAlignment="1">
      <alignment horizontal="left"/>
    </xf>
    <xf numFmtId="0" fontId="19" fillId="6" borderId="6" xfId="0" applyFont="1" applyFill="1" applyBorder="1" applyAlignment="1">
      <alignment horizontal="left"/>
    </xf>
    <xf numFmtId="0" fontId="19" fillId="6" borderId="3" xfId="0" applyFont="1" applyFill="1" applyBorder="1" applyAlignment="1">
      <alignment horizontal="left"/>
    </xf>
    <xf numFmtId="164" fontId="19" fillId="6" borderId="16" xfId="0" applyNumberFormat="1" applyFont="1" applyFill="1" applyBorder="1" applyAlignment="1">
      <alignment horizontal="center"/>
    </xf>
    <xf numFmtId="0" fontId="19" fillId="6" borderId="6" xfId="0" applyFont="1" applyFill="1" applyBorder="1"/>
    <xf numFmtId="0" fontId="19" fillId="6" borderId="10" xfId="0" applyFont="1" applyFill="1" applyBorder="1" applyAlignment="1">
      <alignment horizontal="center"/>
    </xf>
    <xf numFmtId="0" fontId="0" fillId="6" borderId="0" xfId="0" applyFill="1"/>
    <xf numFmtId="0" fontId="15" fillId="6" borderId="0" xfId="0" applyFont="1" applyFill="1" applyBorder="1"/>
  </cellXfs>
  <cellStyles count="1">
    <cellStyle name="Normal" xfId="0" builtinId="0"/>
  </cellStyles>
  <dxfs count="131">
    <dxf>
      <fill>
        <patternFill>
          <bgColor rgb="FF002060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8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002060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1</xdr:row>
      <xdr:rowOff>28575</xdr:rowOff>
    </xdr:from>
    <xdr:to>
      <xdr:col>6</xdr:col>
      <xdr:colOff>933450</xdr:colOff>
      <xdr:row>5</xdr:row>
      <xdr:rowOff>85725</xdr:rowOff>
    </xdr:to>
    <xdr:pic>
      <xdr:nvPicPr>
        <xdr:cNvPr id="9678" name="Image 1">
          <a:extLst>
            <a:ext uri="{FF2B5EF4-FFF2-40B4-BE49-F238E27FC236}">
              <a16:creationId xmlns:a16="http://schemas.microsoft.com/office/drawing/2014/main" id="{3DE3265F-8F30-492B-B71D-CC96D6A0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190500"/>
          <a:ext cx="42481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1</xdr:row>
      <xdr:rowOff>28575</xdr:rowOff>
    </xdr:from>
    <xdr:to>
      <xdr:col>6</xdr:col>
      <xdr:colOff>933450</xdr:colOff>
      <xdr:row>5</xdr:row>
      <xdr:rowOff>85725</xdr:rowOff>
    </xdr:to>
    <xdr:pic>
      <xdr:nvPicPr>
        <xdr:cNvPr id="5818" name="Image 1">
          <a:extLst>
            <a:ext uri="{FF2B5EF4-FFF2-40B4-BE49-F238E27FC236}">
              <a16:creationId xmlns:a16="http://schemas.microsoft.com/office/drawing/2014/main" id="{D5AF7F55-ABE1-421C-991A-584E2F14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190500"/>
          <a:ext cx="42481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4</xdr:col>
      <xdr:colOff>28575</xdr:colOff>
      <xdr:row>3</xdr:row>
      <xdr:rowOff>159289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B5BBAE-854C-4CC0-95C4-7C656A159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1447800" cy="6450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495300</xdr:colOff>
      <xdr:row>53</xdr:row>
      <xdr:rowOff>133350</xdr:rowOff>
    </xdr:from>
    <xdr:to>
      <xdr:col>18</xdr:col>
      <xdr:colOff>9513</xdr:colOff>
      <xdr:row>56</xdr:row>
      <xdr:rowOff>9525</xdr:rowOff>
    </xdr:to>
    <xdr:pic>
      <xdr:nvPicPr>
        <xdr:cNvPr id="27382" name="Image 1">
          <a:extLst>
            <a:ext uri="{FF2B5EF4-FFF2-40B4-BE49-F238E27FC236}">
              <a16:creationId xmlns:a16="http://schemas.microsoft.com/office/drawing/2014/main" id="{CD40B0FD-468C-402C-A9A8-B59DA3E66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29"/>
        <a:stretch>
          <a:fillRect/>
        </a:stretch>
      </xdr:blipFill>
      <xdr:spPr bwMode="auto">
        <a:xfrm>
          <a:off x="8382000" y="9315450"/>
          <a:ext cx="18764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342900</xdr:colOff>
      <xdr:row>5</xdr:row>
      <xdr:rowOff>66673</xdr:rowOff>
    </xdr:from>
    <xdr:to>
      <xdr:col>13</xdr:col>
      <xdr:colOff>119030</xdr:colOff>
      <xdr:row>12</xdr:row>
      <xdr:rowOff>98102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8D8F54-7AE1-42CE-8058-62EEB3E5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981073"/>
          <a:ext cx="2466975" cy="1231579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62</xdr:row>
      <xdr:rowOff>66675</xdr:rowOff>
    </xdr:from>
    <xdr:to>
      <xdr:col>15</xdr:col>
      <xdr:colOff>171418</xdr:colOff>
      <xdr:row>69</xdr:row>
      <xdr:rowOff>98104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4229E6-A019-4A0C-AEC9-CE559432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10810875"/>
          <a:ext cx="2466975" cy="1231579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62</xdr:row>
      <xdr:rowOff>95250</xdr:rowOff>
    </xdr:from>
    <xdr:to>
      <xdr:col>14</xdr:col>
      <xdr:colOff>728086</xdr:colOff>
      <xdr:row>69</xdr:row>
      <xdr:rowOff>147589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F716AE-A6DB-4ADC-BF67-14F32AC26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0400" y="10839450"/>
          <a:ext cx="1533524" cy="1252489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5</xdr:row>
      <xdr:rowOff>104775</xdr:rowOff>
    </xdr:from>
    <xdr:to>
      <xdr:col>15</xdr:col>
      <xdr:colOff>328020</xdr:colOff>
      <xdr:row>12</xdr:row>
      <xdr:rowOff>157114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3BFDC6-BC6E-4FF6-9B32-1A702DC1F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2300" y="1019175"/>
          <a:ext cx="1533524" cy="12524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45"/>
  <sheetViews>
    <sheetView workbookViewId="0">
      <selection activeCell="B37" sqref="B37"/>
    </sheetView>
    <sheetView workbookViewId="1"/>
  </sheetViews>
  <sheetFormatPr defaultColWidth="11.42578125" defaultRowHeight="12.75" x14ac:dyDescent="0.2"/>
  <cols>
    <col min="1" max="1" width="19.140625" bestFit="1" customWidth="1"/>
    <col min="2" max="2" width="13.42578125" bestFit="1" customWidth="1"/>
  </cols>
  <sheetData>
    <row r="1" spans="1:2" s="1" customFormat="1" x14ac:dyDescent="0.2">
      <c r="A1" s="2" t="s">
        <v>78</v>
      </c>
      <c r="B1" s="2" t="s">
        <v>487</v>
      </c>
    </row>
    <row r="2" spans="1:2" x14ac:dyDescent="0.2">
      <c r="A2" s="3" t="s">
        <v>79</v>
      </c>
      <c r="B2" s="3" t="s">
        <v>542</v>
      </c>
    </row>
    <row r="3" spans="1:2" x14ac:dyDescent="0.2">
      <c r="A3" s="3" t="s">
        <v>80</v>
      </c>
      <c r="B3" s="3">
        <v>1331</v>
      </c>
    </row>
    <row r="4" spans="1:2" x14ac:dyDescent="0.2">
      <c r="A4" s="3" t="s">
        <v>81</v>
      </c>
      <c r="B4" s="3" t="s">
        <v>487</v>
      </c>
    </row>
    <row r="5" spans="1:2" x14ac:dyDescent="0.2">
      <c r="A5" s="3" t="s">
        <v>82</v>
      </c>
      <c r="B5" s="4">
        <v>43729.338773148149</v>
      </c>
    </row>
    <row r="6" spans="1:2" x14ac:dyDescent="0.2">
      <c r="A6" s="3" t="s">
        <v>83</v>
      </c>
      <c r="B6" s="3">
        <v>575499</v>
      </c>
    </row>
    <row r="7" spans="1:2" x14ac:dyDescent="0.2">
      <c r="A7" s="3" t="s">
        <v>84</v>
      </c>
      <c r="B7" s="3" t="s">
        <v>541</v>
      </c>
    </row>
    <row r="8" spans="1:2" x14ac:dyDescent="0.2">
      <c r="A8" s="3" t="s">
        <v>85</v>
      </c>
      <c r="B8" s="3"/>
    </row>
    <row r="9" spans="1:2" x14ac:dyDescent="0.2">
      <c r="A9" s="3" t="s">
        <v>86</v>
      </c>
      <c r="B9" s="3"/>
    </row>
    <row r="10" spans="1:2" x14ac:dyDescent="0.2">
      <c r="A10" s="3" t="s">
        <v>87</v>
      </c>
      <c r="B10" s="3"/>
    </row>
    <row r="11" spans="1:2" x14ac:dyDescent="0.2">
      <c r="A11" s="3" t="s">
        <v>88</v>
      </c>
      <c r="B11" s="3">
        <v>63037973</v>
      </c>
    </row>
    <row r="12" spans="1:2" x14ac:dyDescent="0.2">
      <c r="A12" s="3" t="s">
        <v>89</v>
      </c>
      <c r="B12" s="3"/>
    </row>
    <row r="13" spans="1:2" x14ac:dyDescent="0.2">
      <c r="A13" s="3" t="s">
        <v>90</v>
      </c>
      <c r="B13" s="3"/>
    </row>
    <row r="14" spans="1:2" x14ac:dyDescent="0.2">
      <c r="A14" s="3" t="s">
        <v>91</v>
      </c>
      <c r="B14" s="3" t="s">
        <v>543</v>
      </c>
    </row>
    <row r="15" spans="1:2" x14ac:dyDescent="0.2">
      <c r="A15" s="3" t="s">
        <v>92</v>
      </c>
      <c r="B15" s="3"/>
    </row>
    <row r="16" spans="1:2" x14ac:dyDescent="0.2">
      <c r="A16" s="3" t="s">
        <v>93</v>
      </c>
      <c r="B16" s="3" t="s">
        <v>94</v>
      </c>
    </row>
    <row r="17" spans="1:2" x14ac:dyDescent="0.2">
      <c r="A17" s="3" t="s">
        <v>95</v>
      </c>
      <c r="B17" s="3" t="s">
        <v>96</v>
      </c>
    </row>
    <row r="18" spans="1:2" x14ac:dyDescent="0.2">
      <c r="A18" s="3" t="s">
        <v>488</v>
      </c>
      <c r="B18" s="3" t="s">
        <v>489</v>
      </c>
    </row>
    <row r="19" spans="1:2" x14ac:dyDescent="0.2">
      <c r="A19" s="3" t="s">
        <v>490</v>
      </c>
      <c r="B19" s="4">
        <v>43731.41065972222</v>
      </c>
    </row>
    <row r="20" spans="1:2" x14ac:dyDescent="0.2">
      <c r="A20" s="3" t="s">
        <v>97</v>
      </c>
      <c r="B20" s="3">
        <v>0.79600000000000004</v>
      </c>
    </row>
    <row r="21" spans="1:2" x14ac:dyDescent="0.2">
      <c r="A21" s="3" t="s">
        <v>98</v>
      </c>
      <c r="B21" s="3">
        <v>15</v>
      </c>
    </row>
    <row r="22" spans="1:2" x14ac:dyDescent="0.2">
      <c r="A22" s="3" t="s">
        <v>23</v>
      </c>
      <c r="B22" s="3">
        <v>18619</v>
      </c>
    </row>
    <row r="23" spans="1:2" x14ac:dyDescent="0.2">
      <c r="A23" s="3" t="s">
        <v>99</v>
      </c>
      <c r="B23" s="3" t="s">
        <v>491</v>
      </c>
    </row>
    <row r="24" spans="1:2" x14ac:dyDescent="0.2">
      <c r="A24" s="3" t="s">
        <v>100</v>
      </c>
      <c r="B24" s="3">
        <v>33471</v>
      </c>
    </row>
    <row r="25" spans="1:2" x14ac:dyDescent="0.2">
      <c r="A25" s="3" t="s">
        <v>101</v>
      </c>
      <c r="B25" s="3">
        <v>22617</v>
      </c>
    </row>
    <row r="26" spans="1:2" x14ac:dyDescent="0.2">
      <c r="A26" s="3" t="s">
        <v>102</v>
      </c>
      <c r="B26" s="3">
        <v>74</v>
      </c>
    </row>
    <row r="27" spans="1:2" x14ac:dyDescent="0.2">
      <c r="A27" s="3" t="s">
        <v>103</v>
      </c>
      <c r="B27" s="353">
        <v>43539</v>
      </c>
    </row>
    <row r="28" spans="1:2" x14ac:dyDescent="0.2">
      <c r="A28" s="3" t="s">
        <v>104</v>
      </c>
      <c r="B28" s="3">
        <v>0</v>
      </c>
    </row>
    <row r="29" spans="1:2" x14ac:dyDescent="0.2">
      <c r="A29" s="3" t="s">
        <v>105</v>
      </c>
      <c r="B29" s="3">
        <v>0</v>
      </c>
    </row>
    <row r="30" spans="1:2" x14ac:dyDescent="0.2">
      <c r="A30" s="3" t="s">
        <v>106</v>
      </c>
      <c r="B30" s="3" t="s">
        <v>492</v>
      </c>
    </row>
    <row r="31" spans="1:2" x14ac:dyDescent="0.2">
      <c r="A31" s="3" t="s">
        <v>107</v>
      </c>
      <c r="B31" s="3" t="s">
        <v>544</v>
      </c>
    </row>
    <row r="32" spans="1:2" x14ac:dyDescent="0.2">
      <c r="A32" s="3" t="s">
        <v>108</v>
      </c>
      <c r="B32" s="3" t="s">
        <v>493</v>
      </c>
    </row>
    <row r="33" spans="1:2" x14ac:dyDescent="0.2">
      <c r="A33" s="3" t="s">
        <v>109</v>
      </c>
      <c r="B33" s="3" t="s">
        <v>494</v>
      </c>
    </row>
    <row r="34" spans="1:2" x14ac:dyDescent="0.2">
      <c r="A34" s="3" t="s">
        <v>110</v>
      </c>
      <c r="B34" s="3" t="s">
        <v>495</v>
      </c>
    </row>
    <row r="35" spans="1:2" x14ac:dyDescent="0.2">
      <c r="A35" s="3" t="s">
        <v>111</v>
      </c>
      <c r="B35" s="3"/>
    </row>
    <row r="36" spans="1:2" x14ac:dyDescent="0.2">
      <c r="A36" s="3" t="s">
        <v>112</v>
      </c>
      <c r="B36" s="3" t="s">
        <v>545</v>
      </c>
    </row>
    <row r="37" spans="1:2" x14ac:dyDescent="0.2">
      <c r="A37" s="3" t="s">
        <v>113</v>
      </c>
      <c r="B37" s="3" t="s">
        <v>496</v>
      </c>
    </row>
    <row r="38" spans="1:2" x14ac:dyDescent="0.2">
      <c r="A38" s="3" t="s">
        <v>114</v>
      </c>
      <c r="B38" s="3">
        <v>10</v>
      </c>
    </row>
    <row r="39" spans="1:2" x14ac:dyDescent="0.2">
      <c r="A39" s="3" t="s">
        <v>115</v>
      </c>
      <c r="B39" s="3"/>
    </row>
    <row r="40" spans="1:2" x14ac:dyDescent="0.2">
      <c r="A40" s="3" t="s">
        <v>116</v>
      </c>
      <c r="B40" s="3" t="s">
        <v>184</v>
      </c>
    </row>
    <row r="41" spans="1:2" x14ac:dyDescent="0.2">
      <c r="A41" s="3" t="s">
        <v>117</v>
      </c>
      <c r="B41" s="3"/>
    </row>
    <row r="42" spans="1:2" x14ac:dyDescent="0.2">
      <c r="A42" s="3" t="s">
        <v>118</v>
      </c>
      <c r="B42" s="3">
        <v>0</v>
      </c>
    </row>
    <row r="43" spans="1:2" x14ac:dyDescent="0.2">
      <c r="A43" s="3" t="s">
        <v>119</v>
      </c>
      <c r="B43" s="3" t="s">
        <v>175</v>
      </c>
    </row>
    <row r="44" spans="1:2" x14ac:dyDescent="0.2">
      <c r="A44" s="3" t="s">
        <v>120</v>
      </c>
      <c r="B44" s="3" t="s">
        <v>497</v>
      </c>
    </row>
    <row r="45" spans="1:2" x14ac:dyDescent="0.2">
      <c r="A45" s="3" t="s">
        <v>121</v>
      </c>
      <c r="B45" s="3" t="s">
        <v>498</v>
      </c>
    </row>
  </sheetData>
  <sheetProtection algorithmName="SHA-512" hashValue="+XmAaz0xadGsxjrCYQaVJA26VQYtjvC8CQiFwtykG4PFqNwuo/t2WMA/enKQVz+qfYtLbo9q5QbY5tpDLV/drQ==" saltValue="jRX8evCSx+kuYE1JTpnDaw==" spinCount="100000" sheet="1" objects="1" scenarios="1"/>
  <phoneticPr fontId="4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AZ231"/>
  <sheetViews>
    <sheetView tabSelected="1" workbookViewId="0">
      <selection activeCell="G28" sqref="G28"/>
    </sheetView>
    <sheetView workbookViewId="1"/>
  </sheetViews>
  <sheetFormatPr defaultColWidth="11.42578125" defaultRowHeight="12.75" x14ac:dyDescent="0.2"/>
  <cols>
    <col min="1" max="1" width="17.7109375" bestFit="1" customWidth="1"/>
    <col min="2" max="2" width="17.7109375" customWidth="1"/>
    <col min="3" max="3" width="5.140625" bestFit="1" customWidth="1"/>
    <col min="4" max="4" width="29" customWidth="1"/>
    <col min="5" max="5" width="9.7109375" customWidth="1"/>
    <col min="6" max="6" width="4.42578125" customWidth="1"/>
    <col min="7" max="7" width="20" customWidth="1"/>
    <col min="8" max="8" width="17.7109375" customWidth="1"/>
    <col min="9" max="9" width="5.140625" customWidth="1"/>
    <col min="10" max="10" width="12.140625" bestFit="1" customWidth="1"/>
    <col min="11" max="11" width="3" bestFit="1" customWidth="1"/>
    <col min="12" max="12" width="10.42578125" bestFit="1" customWidth="1"/>
    <col min="13" max="13" width="12.140625" bestFit="1" customWidth="1"/>
    <col min="14" max="14" width="3" bestFit="1" customWidth="1"/>
    <col min="15" max="15" width="10.42578125" bestFit="1" customWidth="1"/>
    <col min="16" max="16" width="11.28515625" bestFit="1" customWidth="1"/>
    <col min="17" max="17" width="3" bestFit="1" customWidth="1"/>
    <col min="18" max="18" width="10.42578125" bestFit="1" customWidth="1"/>
    <col min="19" max="19" width="11.28515625" bestFit="1" customWidth="1"/>
    <col min="20" max="20" width="2.28515625" bestFit="1" customWidth="1"/>
    <col min="21" max="21" width="10.42578125" bestFit="1" customWidth="1"/>
    <col min="22" max="22" width="11.28515625" bestFit="1" customWidth="1"/>
    <col min="23" max="23" width="2.28515625" bestFit="1" customWidth="1"/>
    <col min="24" max="24" width="10.42578125" bestFit="1" customWidth="1"/>
    <col min="25" max="25" width="11.85546875" bestFit="1" customWidth="1"/>
    <col min="26" max="26" width="3" bestFit="1" customWidth="1"/>
    <col min="27" max="27" width="10.42578125" bestFit="1" customWidth="1"/>
    <col min="28" max="28" width="11.85546875" bestFit="1" customWidth="1"/>
    <col min="29" max="29" width="3" bestFit="1" customWidth="1"/>
    <col min="30" max="30" width="10.42578125" bestFit="1" customWidth="1"/>
    <col min="31" max="31" width="11.28515625" bestFit="1" customWidth="1"/>
    <col min="32" max="32" width="2.28515625" bestFit="1" customWidth="1"/>
    <col min="33" max="33" width="10.42578125" bestFit="1" customWidth="1"/>
    <col min="34" max="34" width="11.85546875" bestFit="1" customWidth="1"/>
    <col min="35" max="35" width="3" bestFit="1" customWidth="1"/>
    <col min="36" max="36" width="10.42578125" bestFit="1" customWidth="1"/>
    <col min="37" max="37" width="11.28515625" bestFit="1" customWidth="1"/>
    <col min="38" max="38" width="2.28515625" bestFit="1" customWidth="1"/>
    <col min="39" max="39" width="10.42578125" bestFit="1" customWidth="1"/>
    <col min="40" max="40" width="11.28515625" bestFit="1" customWidth="1"/>
    <col min="41" max="41" width="2.28515625" bestFit="1" customWidth="1"/>
    <col min="42" max="42" width="10.42578125" bestFit="1" customWidth="1"/>
    <col min="43" max="43" width="11.85546875" bestFit="1" customWidth="1"/>
    <col min="44" max="44" width="3" bestFit="1" customWidth="1"/>
    <col min="45" max="45" width="10.42578125" bestFit="1" customWidth="1"/>
    <col min="46" max="46" width="11.85546875" bestFit="1" customWidth="1"/>
    <col min="47" max="47" width="3" bestFit="1" customWidth="1"/>
    <col min="48" max="48" width="10.42578125" bestFit="1" customWidth="1"/>
    <col min="49" max="49" width="11.28515625" bestFit="1" customWidth="1"/>
    <col min="50" max="50" width="3" bestFit="1" customWidth="1"/>
    <col min="51" max="51" width="10.42578125" bestFit="1" customWidth="1"/>
    <col min="52" max="53" width="13.140625" bestFit="1" customWidth="1"/>
    <col min="54" max="54" width="3" bestFit="1" customWidth="1"/>
    <col min="55" max="55" width="11" bestFit="1" customWidth="1"/>
    <col min="56" max="56" width="13.140625" bestFit="1" customWidth="1"/>
    <col min="57" max="57" width="3" bestFit="1" customWidth="1"/>
    <col min="58" max="58" width="11" bestFit="1" customWidth="1"/>
    <col min="59" max="59" width="13.140625" bestFit="1" customWidth="1"/>
    <col min="60" max="60" width="3" bestFit="1" customWidth="1"/>
    <col min="61" max="61" width="11" bestFit="1" customWidth="1"/>
    <col min="62" max="62" width="13.140625" bestFit="1" customWidth="1"/>
    <col min="63" max="63" width="3" bestFit="1" customWidth="1"/>
    <col min="64" max="64" width="11" bestFit="1" customWidth="1"/>
    <col min="65" max="65" width="13.140625" bestFit="1" customWidth="1"/>
    <col min="66" max="66" width="3" bestFit="1" customWidth="1"/>
    <col min="67" max="67" width="11" bestFit="1" customWidth="1"/>
    <col min="68" max="68" width="13.140625" bestFit="1" customWidth="1"/>
    <col min="69" max="69" width="3" bestFit="1" customWidth="1"/>
    <col min="70" max="70" width="11" bestFit="1" customWidth="1"/>
    <col min="71" max="71" width="13.140625" bestFit="1" customWidth="1"/>
    <col min="72" max="72" width="3" bestFit="1" customWidth="1"/>
    <col min="73" max="73" width="11" bestFit="1" customWidth="1"/>
    <col min="74" max="74" width="13.140625" bestFit="1" customWidth="1"/>
    <col min="75" max="75" width="3" bestFit="1" customWidth="1"/>
    <col min="76" max="76" width="11" bestFit="1" customWidth="1"/>
    <col min="77" max="77" width="13.140625" bestFit="1" customWidth="1"/>
    <col min="78" max="78" width="3" bestFit="1" customWidth="1"/>
    <col min="79" max="79" width="11" bestFit="1" customWidth="1"/>
    <col min="80" max="80" width="13.140625" bestFit="1" customWidth="1"/>
    <col min="81" max="81" width="3" bestFit="1" customWidth="1"/>
    <col min="82" max="82" width="10.42578125" bestFit="1" customWidth="1"/>
    <col min="83" max="83" width="13.140625" bestFit="1" customWidth="1"/>
    <col min="84" max="84" width="12.140625" bestFit="1" customWidth="1"/>
    <col min="85" max="85" width="3" bestFit="1" customWidth="1"/>
    <col min="86" max="86" width="10.42578125" bestFit="1" customWidth="1"/>
    <col min="87" max="87" width="13.140625" bestFit="1" customWidth="1"/>
    <col min="88" max="89" width="9.140625" customWidth="1"/>
    <col min="90" max="90" width="13.140625" bestFit="1" customWidth="1"/>
  </cols>
  <sheetData>
    <row r="1" spans="1:52" s="1" customFormat="1" x14ac:dyDescent="0.2">
      <c r="A1" s="2"/>
      <c r="B1" s="2"/>
      <c r="C1" s="2"/>
      <c r="D1" s="757"/>
      <c r="E1" s="757"/>
      <c r="F1" s="757"/>
      <c r="G1" s="757"/>
      <c r="H1" s="75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 x14ac:dyDescent="0.2">
      <c r="A2" s="480"/>
      <c r="B2" s="480"/>
      <c r="C2" s="3"/>
      <c r="D2" s="480"/>
      <c r="E2" s="480"/>
      <c r="F2" s="480"/>
      <c r="G2" s="480"/>
      <c r="H2" s="480"/>
      <c r="I2" s="3"/>
      <c r="J2" s="4"/>
      <c r="K2" s="3"/>
      <c r="L2" s="3"/>
      <c r="M2" s="4"/>
      <c r="N2" s="3"/>
      <c r="O2" s="3"/>
      <c r="P2" s="4"/>
      <c r="Q2" s="3"/>
      <c r="R2" s="3"/>
      <c r="S2" s="4"/>
      <c r="T2" s="3"/>
      <c r="U2" s="3"/>
      <c r="V2" s="4"/>
      <c r="W2" s="3"/>
      <c r="X2" s="3"/>
      <c r="Y2" s="4"/>
      <c r="Z2" s="3"/>
      <c r="AA2" s="3"/>
      <c r="AB2" s="4"/>
      <c r="AC2" s="3"/>
      <c r="AD2" s="3"/>
      <c r="AE2" s="4"/>
      <c r="AF2" s="3"/>
      <c r="AG2" s="3"/>
      <c r="AH2" s="4"/>
      <c r="AI2" s="3"/>
      <c r="AJ2" s="3"/>
      <c r="AK2" s="4"/>
      <c r="AL2" s="3"/>
      <c r="AM2" s="3"/>
      <c r="AN2" s="4"/>
      <c r="AO2" s="3"/>
      <c r="AP2" s="3"/>
      <c r="AQ2" s="4"/>
      <c r="AR2" s="3"/>
      <c r="AS2" s="3"/>
      <c r="AT2" s="4"/>
      <c r="AU2" s="3"/>
      <c r="AV2" s="3"/>
      <c r="AW2" s="4"/>
      <c r="AX2" s="3"/>
      <c r="AY2" s="3"/>
      <c r="AZ2" s="4"/>
    </row>
    <row r="3" spans="1:52" x14ac:dyDescent="0.2">
      <c r="A3" s="480"/>
      <c r="B3" s="480"/>
      <c r="C3" s="3"/>
      <c r="D3" s="480"/>
      <c r="E3" s="480"/>
      <c r="F3" s="480"/>
      <c r="G3" s="480"/>
      <c r="H3" s="480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1:52" x14ac:dyDescent="0.2">
      <c r="A4" s="480"/>
      <c r="B4" s="480"/>
      <c r="C4" s="3"/>
      <c r="D4" s="480"/>
      <c r="E4" s="480"/>
      <c r="F4" s="480"/>
      <c r="G4" s="480"/>
      <c r="H4" s="48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x14ac:dyDescent="0.2">
      <c r="A5" s="480" t="s">
        <v>611</v>
      </c>
      <c r="B5" s="480"/>
      <c r="C5" s="3"/>
      <c r="E5" s="480"/>
      <c r="F5" s="480"/>
      <c r="G5" s="480"/>
      <c r="H5" s="480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x14ac:dyDescent="0.2">
      <c r="A6" s="480" t="s">
        <v>612</v>
      </c>
      <c r="B6" s="480"/>
      <c r="C6" s="3"/>
      <c r="E6" s="480"/>
      <c r="F6" s="480"/>
      <c r="G6" s="480"/>
      <c r="H6" s="480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x14ac:dyDescent="0.2">
      <c r="A7" s="480" t="s">
        <v>613</v>
      </c>
      <c r="B7" s="480"/>
      <c r="C7" s="3"/>
      <c r="E7" s="480"/>
      <c r="F7" s="480"/>
      <c r="G7" s="480"/>
      <c r="H7" s="480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 x14ac:dyDescent="0.2">
      <c r="A8" s="480" t="s">
        <v>614</v>
      </c>
      <c r="B8" s="480"/>
      <c r="C8" s="3"/>
      <c r="E8" s="480"/>
      <c r="F8" s="480"/>
      <c r="G8" s="480"/>
      <c r="H8" s="480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 x14ac:dyDescent="0.2">
      <c r="A9" s="480" t="s">
        <v>615</v>
      </c>
      <c r="B9" s="480"/>
      <c r="C9" s="3"/>
      <c r="E9" s="480"/>
      <c r="F9" s="480"/>
      <c r="G9" s="480"/>
      <c r="H9" s="480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 x14ac:dyDescent="0.2">
      <c r="A10" s="480" t="s">
        <v>616</v>
      </c>
      <c r="B10" s="480"/>
      <c r="C10" s="3"/>
      <c r="E10" s="480"/>
      <c r="F10" s="480"/>
      <c r="G10" s="480"/>
      <c r="H10" s="480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 x14ac:dyDescent="0.2">
      <c r="A11" s="480" t="s">
        <v>617</v>
      </c>
      <c r="B11" s="480"/>
      <c r="C11" s="3"/>
      <c r="E11" s="480"/>
      <c r="F11" s="480"/>
      <c r="G11" s="480"/>
      <c r="H11" s="480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 x14ac:dyDescent="0.2">
      <c r="A12" s="480" t="s">
        <v>618</v>
      </c>
      <c r="B12" s="480"/>
      <c r="C12" s="3"/>
      <c r="E12" s="480"/>
      <c r="F12" s="480"/>
      <c r="G12" s="480"/>
      <c r="H12" s="480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 x14ac:dyDescent="0.2">
      <c r="A13" s="480" t="s">
        <v>619</v>
      </c>
      <c r="B13" s="480"/>
      <c r="C13" s="3"/>
      <c r="E13" s="480"/>
      <c r="F13" s="480"/>
      <c r="G13" s="480"/>
      <c r="H13" s="480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 x14ac:dyDescent="0.2">
      <c r="A14" s="480" t="s">
        <v>620</v>
      </c>
      <c r="B14" s="480"/>
      <c r="C14" s="3"/>
      <c r="E14" s="480"/>
      <c r="F14" s="480"/>
      <c r="G14" s="480"/>
      <c r="H14" s="480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 x14ac:dyDescent="0.2">
      <c r="A15" s="480" t="s">
        <v>621</v>
      </c>
      <c r="B15" s="480"/>
      <c r="C15" s="3"/>
      <c r="E15" s="480"/>
      <c r="F15" s="480"/>
      <c r="G15" s="480"/>
      <c r="H15" s="480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 x14ac:dyDescent="0.2">
      <c r="A16" s="480" t="s">
        <v>622</v>
      </c>
      <c r="B16" s="480"/>
      <c r="C16" s="3"/>
      <c r="E16" s="480"/>
      <c r="F16" s="480"/>
      <c r="G16" s="480"/>
      <c r="H16" s="480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 x14ac:dyDescent="0.2">
      <c r="A17" s="480" t="s">
        <v>623</v>
      </c>
      <c r="B17" s="480"/>
      <c r="C17" s="3"/>
      <c r="E17" s="480"/>
      <c r="F17" s="480"/>
      <c r="G17" s="480"/>
      <c r="H17" s="480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 x14ac:dyDescent="0.2">
      <c r="A18" s="480" t="s">
        <v>624</v>
      </c>
      <c r="B18" s="480"/>
      <c r="C18" s="3"/>
      <c r="E18" s="480"/>
      <c r="F18" s="480"/>
      <c r="G18" s="480"/>
      <c r="H18" s="480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 x14ac:dyDescent="0.2">
      <c r="A19" s="480" t="s">
        <v>625</v>
      </c>
      <c r="B19" s="480"/>
      <c r="C19" s="3"/>
      <c r="E19" s="480"/>
      <c r="F19" s="480"/>
      <c r="G19" s="480"/>
      <c r="H19" s="480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x14ac:dyDescent="0.2">
      <c r="A20" s="480" t="s">
        <v>626</v>
      </c>
      <c r="B20" s="480"/>
      <c r="C20" s="3"/>
      <c r="E20" s="480"/>
      <c r="F20" s="480"/>
      <c r="G20" s="480"/>
      <c r="H20" s="480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x14ac:dyDescent="0.2">
      <c r="A21" s="480" t="s">
        <v>627</v>
      </c>
      <c r="B21" s="480"/>
      <c r="C21" s="3"/>
      <c r="E21" s="480"/>
      <c r="F21" s="480"/>
      <c r="G21" s="480"/>
      <c r="H21" s="480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 x14ac:dyDescent="0.2">
      <c r="A22" s="480" t="s">
        <v>628</v>
      </c>
      <c r="B22" s="480"/>
      <c r="C22" s="3"/>
      <c r="E22" s="480"/>
      <c r="F22" s="480"/>
      <c r="G22" s="480"/>
      <c r="H22" s="480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 x14ac:dyDescent="0.2">
      <c r="A23" s="480" t="s">
        <v>629</v>
      </c>
      <c r="B23" s="480"/>
      <c r="C23" s="3"/>
      <c r="E23" s="480"/>
      <c r="F23" s="480"/>
      <c r="G23" s="480"/>
      <c r="H23" s="480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 x14ac:dyDescent="0.2">
      <c r="A24" s="480" t="s">
        <v>630</v>
      </c>
      <c r="B24" s="480"/>
      <c r="C24" s="3"/>
      <c r="E24" s="480"/>
      <c r="F24" s="480"/>
      <c r="G24" s="480"/>
      <c r="H24" s="480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 x14ac:dyDescent="0.2">
      <c r="A25" s="480" t="s">
        <v>631</v>
      </c>
      <c r="B25" s="480"/>
      <c r="C25" s="3"/>
      <c r="E25" s="480"/>
      <c r="F25" s="480"/>
      <c r="G25" s="480"/>
      <c r="H25" s="480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 x14ac:dyDescent="0.2">
      <c r="A26" s="480" t="s">
        <v>632</v>
      </c>
      <c r="B26" s="480"/>
      <c r="C26" s="3"/>
      <c r="E26" s="480"/>
      <c r="F26" s="480"/>
      <c r="G26" s="480"/>
      <c r="H26" s="480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x14ac:dyDescent="0.2">
      <c r="A27" s="480" t="s">
        <v>633</v>
      </c>
      <c r="B27" s="480"/>
      <c r="C27" s="3"/>
      <c r="E27" s="480"/>
      <c r="F27" s="480"/>
      <c r="G27" s="480"/>
      <c r="H27" s="480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x14ac:dyDescent="0.2">
      <c r="A28" s="480" t="s">
        <v>634</v>
      </c>
      <c r="B28" s="480"/>
      <c r="C28" s="3"/>
      <c r="E28" s="480"/>
      <c r="F28" s="480"/>
      <c r="G28" s="480"/>
      <c r="H28" s="480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x14ac:dyDescent="0.2">
      <c r="A29" s="480" t="s">
        <v>635</v>
      </c>
      <c r="B29" s="480"/>
      <c r="C29" s="3"/>
      <c r="E29" s="480"/>
      <c r="F29" s="480"/>
      <c r="G29" s="480"/>
      <c r="H29" s="480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x14ac:dyDescent="0.2">
      <c r="A30" s="480" t="s">
        <v>636</v>
      </c>
      <c r="B30" s="480"/>
      <c r="C30" s="3"/>
      <c r="E30" s="480"/>
      <c r="F30" s="480"/>
      <c r="G30" s="480"/>
      <c r="H30" s="480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x14ac:dyDescent="0.2">
      <c r="A31" s="480" t="s">
        <v>637</v>
      </c>
      <c r="B31" s="480"/>
      <c r="C31" s="3"/>
      <c r="E31" s="480"/>
      <c r="F31" s="480"/>
      <c r="G31" s="480"/>
      <c r="H31" s="480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x14ac:dyDescent="0.2">
      <c r="A32" s="480" t="s">
        <v>638</v>
      </c>
      <c r="B32" s="480"/>
      <c r="C32" s="3"/>
      <c r="E32" s="480"/>
      <c r="F32" s="480"/>
      <c r="G32" s="480"/>
      <c r="H32" s="480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x14ac:dyDescent="0.2">
      <c r="A33" s="480" t="s">
        <v>639</v>
      </c>
      <c r="B33" s="480"/>
      <c r="C33" s="3"/>
      <c r="E33" s="480"/>
      <c r="F33" s="480"/>
      <c r="G33" s="480"/>
      <c r="H33" s="480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x14ac:dyDescent="0.2">
      <c r="A34" s="480" t="s">
        <v>640</v>
      </c>
      <c r="B34" s="480"/>
      <c r="C34" s="3"/>
      <c r="E34" s="480"/>
      <c r="F34" s="480"/>
      <c r="G34" s="480"/>
      <c r="H34" s="480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x14ac:dyDescent="0.2">
      <c r="A35" s="480" t="s">
        <v>641</v>
      </c>
      <c r="B35" s="480"/>
      <c r="C35" s="3"/>
      <c r="E35" s="480"/>
      <c r="F35" s="480"/>
      <c r="G35" s="480"/>
      <c r="H35" s="480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x14ac:dyDescent="0.2">
      <c r="A36" s="480" t="s">
        <v>642</v>
      </c>
      <c r="B36" s="480"/>
      <c r="C36" s="3"/>
      <c r="E36" s="480"/>
      <c r="F36" s="480"/>
      <c r="G36" s="480"/>
      <c r="H36" s="480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x14ac:dyDescent="0.2">
      <c r="A37" s="480" t="s">
        <v>643</v>
      </c>
      <c r="B37" s="480"/>
      <c r="C37" s="3"/>
      <c r="E37" s="480"/>
      <c r="F37" s="480"/>
      <c r="G37" s="480"/>
      <c r="H37" s="480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x14ac:dyDescent="0.2">
      <c r="A38" s="480" t="s">
        <v>644</v>
      </c>
      <c r="B38" s="480"/>
      <c r="C38" s="3"/>
      <c r="E38" s="480"/>
      <c r="F38" s="480"/>
      <c r="G38" s="480"/>
      <c r="H38" s="480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x14ac:dyDescent="0.2">
      <c r="A39" s="480" t="s">
        <v>645</v>
      </c>
      <c r="B39" s="480"/>
      <c r="C39" s="3"/>
      <c r="E39" s="480"/>
      <c r="F39" s="480"/>
      <c r="G39" s="480"/>
      <c r="H39" s="480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x14ac:dyDescent="0.2">
      <c r="A40" s="480" t="s">
        <v>646</v>
      </c>
      <c r="B40" s="480"/>
      <c r="C40" s="3"/>
      <c r="E40" s="480"/>
      <c r="F40" s="480"/>
      <c r="G40" s="480"/>
      <c r="H40" s="480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x14ac:dyDescent="0.2">
      <c r="A41" s="480" t="s">
        <v>647</v>
      </c>
      <c r="B41" s="480"/>
      <c r="C41" s="3"/>
      <c r="E41" s="480"/>
      <c r="F41" s="480"/>
      <c r="G41" s="480"/>
      <c r="H41" s="480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x14ac:dyDescent="0.2">
      <c r="A42" s="480" t="s">
        <v>648</v>
      </c>
      <c r="B42" s="480"/>
      <c r="C42" s="3"/>
      <c r="E42" s="480"/>
      <c r="F42" s="480"/>
      <c r="G42" s="480"/>
      <c r="H42" s="480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x14ac:dyDescent="0.2">
      <c r="A43" s="480" t="s">
        <v>649</v>
      </c>
      <c r="B43" s="480"/>
      <c r="C43" s="3"/>
      <c r="E43" s="480"/>
      <c r="F43" s="480"/>
      <c r="G43" s="480"/>
      <c r="H43" s="480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x14ac:dyDescent="0.2">
      <c r="A44" s="480" t="s">
        <v>650</v>
      </c>
      <c r="B44" s="480"/>
      <c r="C44" s="3"/>
      <c r="E44" s="480"/>
      <c r="F44" s="480"/>
      <c r="G44" s="480"/>
      <c r="H44" s="480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x14ac:dyDescent="0.2">
      <c r="A45" s="480" t="s">
        <v>651</v>
      </c>
      <c r="B45" s="480"/>
      <c r="C45" s="3"/>
      <c r="E45" s="480"/>
      <c r="F45" s="480"/>
      <c r="G45" s="480"/>
      <c r="H45" s="480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x14ac:dyDescent="0.2">
      <c r="A46" s="480" t="s">
        <v>652</v>
      </c>
      <c r="B46" s="480"/>
      <c r="C46" s="3"/>
      <c r="E46" s="480"/>
      <c r="F46" s="480"/>
      <c r="G46" s="480"/>
      <c r="H46" s="480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x14ac:dyDescent="0.2">
      <c r="A47" s="480" t="s">
        <v>653</v>
      </c>
      <c r="B47" s="480"/>
      <c r="C47" s="3"/>
      <c r="E47" s="480"/>
      <c r="F47" s="480"/>
      <c r="G47" s="480"/>
      <c r="H47" s="480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x14ac:dyDescent="0.2">
      <c r="A48" s="480" t="s">
        <v>654</v>
      </c>
      <c r="B48" s="480"/>
      <c r="C48" s="3"/>
      <c r="E48" s="480"/>
      <c r="F48" s="480"/>
      <c r="G48" s="480"/>
      <c r="H48" s="480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x14ac:dyDescent="0.2">
      <c r="A49" s="480" t="s">
        <v>656</v>
      </c>
      <c r="B49" s="480"/>
      <c r="C49" s="3"/>
      <c r="E49" s="480"/>
      <c r="F49" s="480"/>
      <c r="G49" s="480"/>
      <c r="H49" s="480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x14ac:dyDescent="0.2">
      <c r="A50" s="480" t="s">
        <v>657</v>
      </c>
      <c r="B50" s="480"/>
      <c r="C50" s="3"/>
      <c r="E50" s="480"/>
      <c r="F50" s="480"/>
      <c r="G50" s="480"/>
      <c r="H50" s="480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x14ac:dyDescent="0.2">
      <c r="A51" s="480" t="s">
        <v>658</v>
      </c>
      <c r="B51" s="480"/>
      <c r="C51" s="3"/>
      <c r="E51" s="480"/>
      <c r="F51" s="480"/>
      <c r="G51" s="480"/>
      <c r="H51" s="480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x14ac:dyDescent="0.2">
      <c r="A52" s="480" t="s">
        <v>659</v>
      </c>
      <c r="B52" s="480"/>
      <c r="C52" s="3"/>
      <c r="E52" s="480"/>
      <c r="F52" s="480"/>
      <c r="G52" s="480"/>
      <c r="H52" s="480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 x14ac:dyDescent="0.2">
      <c r="A53" s="480" t="s">
        <v>660</v>
      </c>
      <c r="B53" s="480"/>
      <c r="C53" s="3"/>
      <c r="E53" s="480"/>
      <c r="F53" s="480"/>
      <c r="G53" s="480"/>
      <c r="H53" s="480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x14ac:dyDescent="0.2">
      <c r="A54" s="480" t="s">
        <v>661</v>
      </c>
      <c r="B54" s="480"/>
      <c r="C54" s="3"/>
      <c r="E54" s="480"/>
      <c r="F54" s="480"/>
      <c r="G54" s="480"/>
      <c r="H54" s="480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x14ac:dyDescent="0.2">
      <c r="A55" s="480" t="s">
        <v>662</v>
      </c>
      <c r="B55" s="480"/>
      <c r="C55" s="3"/>
      <c r="E55" s="480"/>
      <c r="F55" s="480"/>
      <c r="G55" s="480"/>
      <c r="H55" s="480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x14ac:dyDescent="0.2">
      <c r="A56" s="480" t="s">
        <v>663</v>
      </c>
      <c r="B56" s="480"/>
      <c r="C56" s="3"/>
      <c r="E56" s="480"/>
      <c r="F56" s="480"/>
      <c r="G56" s="480"/>
      <c r="H56" s="480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x14ac:dyDescent="0.2">
      <c r="A57" s="480" t="s">
        <v>664</v>
      </c>
      <c r="B57" s="480"/>
      <c r="C57" s="3"/>
      <c r="E57" s="480"/>
      <c r="F57" s="480"/>
      <c r="G57" s="480"/>
      <c r="H57" s="480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x14ac:dyDescent="0.2">
      <c r="A58" s="480" t="s">
        <v>665</v>
      </c>
      <c r="B58" s="480"/>
      <c r="C58" s="3"/>
      <c r="E58" s="480"/>
      <c r="F58" s="480"/>
      <c r="G58" s="480"/>
      <c r="H58" s="480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x14ac:dyDescent="0.2">
      <c r="A59" s="480" t="s">
        <v>666</v>
      </c>
      <c r="B59" s="480"/>
      <c r="C59" s="3"/>
      <c r="E59" s="480"/>
      <c r="F59" s="480"/>
      <c r="G59" s="480"/>
      <c r="H59" s="480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x14ac:dyDescent="0.2">
      <c r="A60" s="480" t="s">
        <v>667</v>
      </c>
      <c r="B60" s="480"/>
      <c r="C60" s="3"/>
      <c r="E60" s="480"/>
      <c r="F60" s="480"/>
      <c r="G60" s="480"/>
      <c r="H60" s="480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x14ac:dyDescent="0.2">
      <c r="A61" s="480" t="s">
        <v>668</v>
      </c>
      <c r="B61" s="480"/>
      <c r="C61" s="3"/>
      <c r="E61" s="480"/>
      <c r="F61" s="480"/>
      <c r="G61" s="480"/>
      <c r="H61" s="480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x14ac:dyDescent="0.2">
      <c r="A62" s="480" t="s">
        <v>669</v>
      </c>
      <c r="B62" s="480"/>
      <c r="C62" s="3"/>
      <c r="E62" s="480"/>
      <c r="F62" s="480"/>
      <c r="G62" s="480"/>
      <c r="H62" s="480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x14ac:dyDescent="0.2">
      <c r="A63" s="480" t="s">
        <v>670</v>
      </c>
      <c r="B63" s="480"/>
      <c r="C63" s="3"/>
      <c r="E63" s="480"/>
      <c r="F63" s="480"/>
      <c r="G63" s="480"/>
      <c r="H63" s="480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x14ac:dyDescent="0.2">
      <c r="A64" s="480" t="s">
        <v>671</v>
      </c>
      <c r="B64" s="480"/>
      <c r="C64" s="3"/>
      <c r="E64" s="480"/>
      <c r="F64" s="480"/>
      <c r="G64" s="480"/>
      <c r="H64" s="480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x14ac:dyDescent="0.2">
      <c r="A65" s="480" t="s">
        <v>671</v>
      </c>
      <c r="B65" s="480"/>
      <c r="C65" s="3"/>
      <c r="E65" s="480"/>
      <c r="F65" s="480"/>
      <c r="G65" s="480"/>
      <c r="H65" s="480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x14ac:dyDescent="0.2">
      <c r="A66" s="480" t="s">
        <v>673</v>
      </c>
      <c r="B66" s="480"/>
      <c r="C66" s="3"/>
      <c r="E66" s="480"/>
      <c r="F66" s="480"/>
      <c r="G66" s="480"/>
      <c r="H66" s="480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x14ac:dyDescent="0.2">
      <c r="A67" s="480" t="s">
        <v>674</v>
      </c>
      <c r="B67" s="480"/>
      <c r="C67" s="3"/>
      <c r="E67" s="480"/>
      <c r="F67" s="480"/>
      <c r="G67" s="480"/>
      <c r="H67" s="480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x14ac:dyDescent="0.2">
      <c r="A68" s="480" t="s">
        <v>672</v>
      </c>
      <c r="B68" s="480"/>
      <c r="C68" s="3"/>
      <c r="E68" s="480"/>
      <c r="F68" s="480"/>
      <c r="G68" s="480"/>
      <c r="H68" s="480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x14ac:dyDescent="0.2">
      <c r="A69" s="480" t="s">
        <v>676</v>
      </c>
      <c r="B69" s="480"/>
      <c r="C69" s="3"/>
      <c r="E69" s="480"/>
      <c r="F69" s="480"/>
      <c r="G69" s="480"/>
      <c r="H69" s="480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 x14ac:dyDescent="0.2">
      <c r="A70" s="480" t="s">
        <v>685</v>
      </c>
      <c r="B70" s="480"/>
      <c r="C70" s="3"/>
      <c r="E70" s="480"/>
      <c r="F70" s="480"/>
      <c r="G70" s="480"/>
      <c r="H70" s="480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 x14ac:dyDescent="0.2">
      <c r="A71" s="480" t="s">
        <v>675</v>
      </c>
      <c r="B71" s="480"/>
      <c r="C71" s="3"/>
      <c r="E71" s="480"/>
      <c r="F71" s="480"/>
      <c r="G71" s="480"/>
      <c r="H71" s="480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 x14ac:dyDescent="0.2">
      <c r="A72" s="480" t="s">
        <v>686</v>
      </c>
      <c r="B72" s="480"/>
      <c r="C72" s="3"/>
      <c r="E72" s="480"/>
      <c r="F72" s="480"/>
      <c r="G72" s="480"/>
      <c r="H72" s="480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 x14ac:dyDescent="0.2">
      <c r="A73" s="480" t="s">
        <v>688</v>
      </c>
      <c r="B73" s="480"/>
      <c r="C73" s="3"/>
      <c r="E73" s="480"/>
      <c r="F73" s="480"/>
      <c r="G73" s="480"/>
      <c r="H73" s="480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 x14ac:dyDescent="0.2">
      <c r="A74" s="480" t="s">
        <v>689</v>
      </c>
      <c r="B74" s="480"/>
      <c r="C74" s="3"/>
      <c r="E74" s="480"/>
      <c r="F74" s="480"/>
      <c r="G74" s="480"/>
      <c r="H74" s="480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 x14ac:dyDescent="0.2">
      <c r="A75" s="480" t="s">
        <v>687</v>
      </c>
      <c r="B75" s="480"/>
      <c r="C75" s="3"/>
      <c r="E75" s="480"/>
      <c r="F75" s="480"/>
      <c r="G75" s="480"/>
      <c r="H75" s="480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 x14ac:dyDescent="0.2">
      <c r="A76" s="480" t="s">
        <v>690</v>
      </c>
      <c r="B76" s="480"/>
      <c r="C76" s="3"/>
      <c r="E76" s="480"/>
      <c r="F76" s="480"/>
      <c r="G76" s="480"/>
      <c r="H76" s="480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 x14ac:dyDescent="0.2">
      <c r="A77" s="480" t="s">
        <v>691</v>
      </c>
      <c r="B77" s="480"/>
      <c r="C77" s="3"/>
      <c r="E77" s="480"/>
      <c r="F77" s="480"/>
      <c r="G77" s="480"/>
      <c r="H77" s="480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 x14ac:dyDescent="0.2">
      <c r="A78" s="480" t="s">
        <v>692</v>
      </c>
      <c r="B78" s="480"/>
      <c r="C78" s="3"/>
      <c r="E78" s="480"/>
      <c r="F78" s="480"/>
      <c r="G78" s="480"/>
      <c r="H78" s="480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 x14ac:dyDescent="0.2">
      <c r="A79" s="480" t="s">
        <v>693</v>
      </c>
      <c r="B79" s="480"/>
      <c r="C79" s="3"/>
      <c r="E79" s="480"/>
      <c r="F79" s="480"/>
      <c r="G79" s="480"/>
      <c r="H79" s="480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 x14ac:dyDescent="0.2">
      <c r="A80" s="480" t="s">
        <v>695</v>
      </c>
      <c r="B80" s="480"/>
      <c r="C80" s="3"/>
      <c r="E80" s="480"/>
      <c r="F80" s="480"/>
      <c r="G80" s="480"/>
      <c r="H80" s="480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 x14ac:dyDescent="0.2">
      <c r="A81" s="480" t="s">
        <v>696</v>
      </c>
      <c r="B81" s="480"/>
      <c r="C81" s="3"/>
      <c r="E81" s="480"/>
      <c r="F81" s="480"/>
      <c r="G81" s="480"/>
      <c r="H81" s="480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x14ac:dyDescent="0.2">
      <c r="A82" s="480" t="s">
        <v>694</v>
      </c>
      <c r="B82" s="480"/>
      <c r="C82" s="3"/>
      <c r="E82" s="480"/>
      <c r="F82" s="480"/>
      <c r="G82" s="480"/>
      <c r="H82" s="480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x14ac:dyDescent="0.2">
      <c r="A83" s="480" t="s">
        <v>697</v>
      </c>
      <c r="B83" s="480"/>
      <c r="C83" s="3"/>
      <c r="E83" s="480"/>
      <c r="F83" s="480"/>
      <c r="G83" s="480"/>
      <c r="H83" s="480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x14ac:dyDescent="0.2">
      <c r="A84" s="480" t="s">
        <v>698</v>
      </c>
      <c r="B84" s="480"/>
      <c r="C84" s="3"/>
      <c r="E84" s="480"/>
      <c r="F84" s="480"/>
      <c r="G84" s="480"/>
      <c r="H84" s="480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x14ac:dyDescent="0.2">
      <c r="A85" s="480" t="s">
        <v>699</v>
      </c>
      <c r="B85" s="480"/>
      <c r="C85" s="3"/>
      <c r="E85" s="480"/>
      <c r="F85" s="480"/>
      <c r="G85" s="480"/>
      <c r="H85" s="480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x14ac:dyDescent="0.2">
      <c r="A86" s="480" t="s">
        <v>700</v>
      </c>
      <c r="B86" s="480"/>
      <c r="C86" s="3"/>
      <c r="E86" s="480"/>
      <c r="F86" s="480"/>
      <c r="G86" s="480"/>
      <c r="H86" s="480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x14ac:dyDescent="0.2">
      <c r="A87" s="480" t="s">
        <v>701</v>
      </c>
      <c r="B87" s="480"/>
      <c r="C87" s="3"/>
      <c r="E87" s="480"/>
      <c r="F87" s="480"/>
      <c r="G87" s="480"/>
      <c r="H87" s="480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x14ac:dyDescent="0.2">
      <c r="A88" s="480" t="s">
        <v>703</v>
      </c>
      <c r="B88" s="480"/>
      <c r="C88" s="3"/>
      <c r="E88" s="480"/>
      <c r="F88" s="480"/>
      <c r="G88" s="480"/>
      <c r="H88" s="480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x14ac:dyDescent="0.2">
      <c r="A89" s="480" t="s">
        <v>704</v>
      </c>
      <c r="B89" s="480"/>
      <c r="C89" s="3"/>
      <c r="E89" s="480"/>
      <c r="F89" s="480"/>
      <c r="G89" s="480"/>
      <c r="H89" s="480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x14ac:dyDescent="0.2">
      <c r="A90" s="480" t="s">
        <v>702</v>
      </c>
      <c r="B90" s="480"/>
      <c r="C90" s="3"/>
      <c r="E90" s="480"/>
      <c r="F90" s="480"/>
      <c r="G90" s="480"/>
      <c r="H90" s="480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x14ac:dyDescent="0.2">
      <c r="A91" s="480" t="s">
        <v>705</v>
      </c>
      <c r="B91" s="480"/>
      <c r="C91" s="3"/>
      <c r="E91" s="480"/>
      <c r="F91" s="480"/>
      <c r="G91" s="480"/>
      <c r="H91" s="480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x14ac:dyDescent="0.2">
      <c r="A92" s="480" t="s">
        <v>706</v>
      </c>
      <c r="B92" s="480"/>
      <c r="C92" s="3"/>
      <c r="E92" s="480"/>
      <c r="F92" s="480"/>
      <c r="G92" s="480"/>
      <c r="H92" s="480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x14ac:dyDescent="0.2">
      <c r="A93" s="480" t="s">
        <v>707</v>
      </c>
      <c r="B93" s="480"/>
      <c r="C93" s="3"/>
      <c r="E93" s="480"/>
      <c r="F93" s="480"/>
      <c r="G93" s="480"/>
      <c r="H93" s="480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 x14ac:dyDescent="0.2">
      <c r="A94" s="480" t="s">
        <v>709</v>
      </c>
      <c r="B94" s="480"/>
      <c r="C94" s="3"/>
      <c r="E94" s="480"/>
      <c r="F94" s="480"/>
      <c r="G94" s="480"/>
      <c r="H94" s="480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 x14ac:dyDescent="0.2">
      <c r="A95" s="480" t="s">
        <v>710</v>
      </c>
      <c r="B95" s="480"/>
      <c r="C95" s="3"/>
      <c r="E95" s="480"/>
      <c r="F95" s="480"/>
      <c r="G95" s="480"/>
      <c r="H95" s="480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 x14ac:dyDescent="0.2">
      <c r="A96" s="480" t="s">
        <v>708</v>
      </c>
      <c r="B96" s="480"/>
      <c r="C96" s="3"/>
      <c r="E96" s="480"/>
      <c r="F96" s="480"/>
      <c r="G96" s="480"/>
      <c r="H96" s="480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 x14ac:dyDescent="0.2">
      <c r="A97" s="480" t="s">
        <v>711</v>
      </c>
      <c r="B97" s="480"/>
      <c r="C97" s="3"/>
      <c r="E97" s="480"/>
      <c r="F97" s="480"/>
      <c r="G97" s="480"/>
      <c r="H97" s="480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 x14ac:dyDescent="0.2">
      <c r="A98" s="480" t="s">
        <v>712</v>
      </c>
      <c r="B98" s="480"/>
      <c r="C98" s="3"/>
      <c r="E98" s="480"/>
      <c r="F98" s="480"/>
      <c r="G98" s="480"/>
      <c r="H98" s="480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 x14ac:dyDescent="0.2">
      <c r="A99" s="480" t="s">
        <v>713</v>
      </c>
      <c r="B99" s="480"/>
      <c r="C99" s="3"/>
      <c r="E99" s="480"/>
      <c r="F99" s="480"/>
      <c r="G99" s="480"/>
      <c r="H99" s="480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 x14ac:dyDescent="0.2">
      <c r="A100" s="480" t="s">
        <v>714</v>
      </c>
      <c r="B100" s="480"/>
      <c r="C100" s="3"/>
      <c r="E100" s="480"/>
      <c r="F100" s="480"/>
      <c r="G100" s="480"/>
      <c r="H100" s="480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 x14ac:dyDescent="0.2">
      <c r="A101" s="758" t="s">
        <v>715</v>
      </c>
      <c r="B101" s="480"/>
      <c r="C101" s="3"/>
      <c r="E101" s="480"/>
      <c r="F101" s="480"/>
      <c r="G101" s="480"/>
      <c r="H101" s="480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 x14ac:dyDescent="0.2">
      <c r="A102" s="480" t="s">
        <v>716</v>
      </c>
      <c r="B102" s="480"/>
      <c r="C102" s="3"/>
      <c r="E102" s="480"/>
      <c r="F102" s="480"/>
      <c r="G102" s="480"/>
      <c r="H102" s="480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 x14ac:dyDescent="0.2">
      <c r="A103" s="480" t="s">
        <v>717</v>
      </c>
      <c r="B103" s="480"/>
      <c r="C103" s="3"/>
      <c r="E103" s="480"/>
      <c r="F103" s="480"/>
      <c r="G103" s="480"/>
      <c r="H103" s="480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x14ac:dyDescent="0.2">
      <c r="A104" s="480" t="s">
        <v>718</v>
      </c>
      <c r="B104" s="480"/>
      <c r="C104" s="3"/>
      <c r="E104" s="480"/>
      <c r="F104" s="480"/>
      <c r="G104" s="480"/>
      <c r="H104" s="480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x14ac:dyDescent="0.2">
      <c r="A105" s="480" t="s">
        <v>719</v>
      </c>
      <c r="B105" s="480"/>
      <c r="C105" s="3"/>
      <c r="E105" s="480"/>
      <c r="F105" s="480"/>
      <c r="G105" s="480"/>
      <c r="H105" s="480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x14ac:dyDescent="0.2">
      <c r="A106" s="480" t="s">
        <v>719</v>
      </c>
      <c r="B106" s="480"/>
      <c r="C106" s="3"/>
      <c r="E106" s="480"/>
      <c r="F106" s="480"/>
      <c r="G106" s="480"/>
      <c r="H106" s="480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x14ac:dyDescent="0.2">
      <c r="A107" s="480" t="s">
        <v>832</v>
      </c>
      <c r="B107" s="480"/>
      <c r="C107" s="3"/>
      <c r="E107" s="480"/>
      <c r="F107" s="480"/>
      <c r="G107" s="480"/>
      <c r="H107" s="480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x14ac:dyDescent="0.2">
      <c r="A108" s="480" t="s">
        <v>720</v>
      </c>
      <c r="B108" s="480"/>
      <c r="C108" s="3"/>
      <c r="E108" s="480"/>
      <c r="F108" s="480"/>
      <c r="G108" s="480"/>
      <c r="H108" s="480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x14ac:dyDescent="0.2">
      <c r="A109" s="480" t="s">
        <v>721</v>
      </c>
      <c r="B109" s="480"/>
      <c r="C109" s="3"/>
      <c r="E109" s="480"/>
      <c r="F109" s="480"/>
      <c r="G109" s="480"/>
      <c r="H109" s="480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x14ac:dyDescent="0.2">
      <c r="A110" s="480" t="s">
        <v>721</v>
      </c>
      <c r="B110" s="480"/>
      <c r="C110" s="3"/>
      <c r="E110" s="480"/>
      <c r="F110" s="480"/>
      <c r="G110" s="480"/>
      <c r="H110" s="480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x14ac:dyDescent="0.2">
      <c r="A111" s="480" t="s">
        <v>722</v>
      </c>
      <c r="B111" s="480"/>
      <c r="C111" s="3"/>
      <c r="E111" s="480"/>
      <c r="F111" s="480"/>
      <c r="G111" s="480"/>
      <c r="H111" s="480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x14ac:dyDescent="0.2">
      <c r="A112" s="480" t="s">
        <v>723</v>
      </c>
      <c r="B112" s="480"/>
      <c r="C112" s="3"/>
      <c r="E112" s="480"/>
      <c r="F112" s="480"/>
      <c r="G112" s="480"/>
      <c r="H112" s="480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x14ac:dyDescent="0.2">
      <c r="A113" s="480" t="s">
        <v>724</v>
      </c>
      <c r="B113" s="480"/>
      <c r="C113" s="3"/>
      <c r="E113" s="480"/>
      <c r="F113" s="480"/>
      <c r="G113" s="480"/>
      <c r="H113" s="480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x14ac:dyDescent="0.2">
      <c r="A114" s="480" t="s">
        <v>725</v>
      </c>
      <c r="B114" s="480"/>
      <c r="C114" s="3"/>
      <c r="E114" s="480"/>
      <c r="F114" s="480"/>
      <c r="G114" s="480"/>
      <c r="H114" s="480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x14ac:dyDescent="0.2">
      <c r="A115" s="480" t="s">
        <v>726</v>
      </c>
      <c r="B115" s="480"/>
      <c r="C115" s="3"/>
      <c r="E115" s="480"/>
      <c r="F115" s="480"/>
      <c r="G115" s="480"/>
      <c r="H115" s="480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x14ac:dyDescent="0.2">
      <c r="A116" s="480" t="s">
        <v>727</v>
      </c>
      <c r="B116" s="480"/>
      <c r="C116" s="3"/>
      <c r="E116" s="480"/>
      <c r="F116" s="480"/>
      <c r="G116" s="480"/>
      <c r="H116" s="480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x14ac:dyDescent="0.2">
      <c r="A117" s="480" t="s">
        <v>728</v>
      </c>
      <c r="B117" s="480"/>
      <c r="C117" s="3"/>
      <c r="E117" s="480"/>
      <c r="F117" s="480"/>
      <c r="G117" s="480"/>
      <c r="H117" s="480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x14ac:dyDescent="0.2">
      <c r="A118" s="480" t="s">
        <v>729</v>
      </c>
      <c r="B118" s="480"/>
      <c r="C118" s="3"/>
      <c r="E118" s="480"/>
      <c r="F118" s="480"/>
      <c r="G118" s="480"/>
      <c r="H118" s="480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x14ac:dyDescent="0.2">
      <c r="A119" s="480" t="s">
        <v>730</v>
      </c>
      <c r="B119" s="480"/>
      <c r="C119" s="3"/>
      <c r="E119" s="480"/>
      <c r="F119" s="480"/>
      <c r="G119" s="480"/>
      <c r="H119" s="480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x14ac:dyDescent="0.2">
      <c r="A120" s="480" t="s">
        <v>731</v>
      </c>
      <c r="B120" s="480"/>
      <c r="C120" s="3"/>
      <c r="E120" s="480"/>
      <c r="F120" s="480"/>
      <c r="G120" s="480"/>
      <c r="H120" s="480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x14ac:dyDescent="0.2">
      <c r="A121" s="480" t="s">
        <v>732</v>
      </c>
      <c r="B121" s="480"/>
      <c r="C121" s="3"/>
      <c r="E121" s="480"/>
      <c r="F121" s="480"/>
      <c r="G121" s="480"/>
      <c r="H121" s="480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x14ac:dyDescent="0.2">
      <c r="A122" s="480" t="s">
        <v>733</v>
      </c>
      <c r="B122" s="480"/>
      <c r="C122" s="3"/>
      <c r="E122" s="480"/>
      <c r="F122" s="480"/>
      <c r="G122" s="480"/>
      <c r="H122" s="480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x14ac:dyDescent="0.2">
      <c r="A123" s="480" t="s">
        <v>734</v>
      </c>
      <c r="B123" s="480"/>
      <c r="C123" s="3"/>
      <c r="E123" s="480"/>
      <c r="F123" s="480"/>
      <c r="G123" s="480"/>
      <c r="H123" s="480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x14ac:dyDescent="0.2">
      <c r="A124" s="480" t="s">
        <v>735</v>
      </c>
      <c r="B124" s="480"/>
      <c r="C124" s="3"/>
      <c r="E124" s="480"/>
      <c r="F124" s="480"/>
      <c r="G124" s="480"/>
      <c r="H124" s="480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x14ac:dyDescent="0.2">
      <c r="A125" s="480" t="s">
        <v>737</v>
      </c>
      <c r="B125" s="480"/>
      <c r="C125" s="3"/>
      <c r="E125" s="480"/>
      <c r="F125" s="480"/>
      <c r="G125" s="480"/>
      <c r="H125" s="480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x14ac:dyDescent="0.2">
      <c r="A126" s="480" t="s">
        <v>736</v>
      </c>
      <c r="B126" s="480"/>
      <c r="C126" s="3"/>
      <c r="E126" s="480"/>
      <c r="F126" s="480"/>
      <c r="G126" s="480"/>
      <c r="H126" s="480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x14ac:dyDescent="0.2">
      <c r="A127" s="480" t="s">
        <v>739</v>
      </c>
      <c r="B127" s="480"/>
      <c r="C127" s="3"/>
      <c r="E127" s="480"/>
      <c r="F127" s="480"/>
      <c r="G127" s="480"/>
      <c r="H127" s="480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x14ac:dyDescent="0.2">
      <c r="A128" s="480" t="s">
        <v>738</v>
      </c>
      <c r="B128" s="480"/>
      <c r="C128" s="3"/>
      <c r="E128" s="480"/>
      <c r="F128" s="480"/>
      <c r="G128" s="480"/>
      <c r="H128" s="480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 x14ac:dyDescent="0.2">
      <c r="A129" s="480" t="s">
        <v>740</v>
      </c>
      <c r="B129" s="480"/>
      <c r="C129" s="3"/>
      <c r="E129" s="480"/>
      <c r="F129" s="480"/>
      <c r="G129" s="480"/>
      <c r="H129" s="480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 x14ac:dyDescent="0.2">
      <c r="A130" s="480" t="s">
        <v>741</v>
      </c>
      <c r="B130" s="480"/>
      <c r="C130" s="3"/>
      <c r="E130" s="480"/>
      <c r="F130" s="480"/>
      <c r="G130" s="480"/>
      <c r="H130" s="480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 x14ac:dyDescent="0.2">
      <c r="A131" s="480" t="s">
        <v>742</v>
      </c>
      <c r="B131" s="480"/>
      <c r="C131" s="3"/>
      <c r="E131" s="480"/>
      <c r="F131" s="480"/>
      <c r="G131" s="480"/>
      <c r="H131" s="480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x14ac:dyDescent="0.2">
      <c r="A132" s="480" t="s">
        <v>744</v>
      </c>
      <c r="B132" s="480"/>
      <c r="C132" s="3"/>
      <c r="E132" s="480"/>
      <c r="F132" s="480"/>
      <c r="G132" s="480"/>
      <c r="H132" s="480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x14ac:dyDescent="0.2">
      <c r="A133" s="480" t="s">
        <v>745</v>
      </c>
      <c r="B133" s="480"/>
      <c r="C133" s="3"/>
      <c r="E133" s="480"/>
      <c r="F133" s="480"/>
      <c r="G133" s="480"/>
      <c r="H133" s="480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 x14ac:dyDescent="0.2">
      <c r="A134" s="480" t="s">
        <v>743</v>
      </c>
      <c r="B134" s="480"/>
      <c r="C134" s="3"/>
      <c r="E134" s="480"/>
      <c r="F134" s="480"/>
      <c r="G134" s="480"/>
      <c r="H134" s="480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x14ac:dyDescent="0.2">
      <c r="A135" s="480" t="s">
        <v>746</v>
      </c>
      <c r="B135" s="480"/>
      <c r="C135" s="3"/>
      <c r="E135" s="480"/>
      <c r="F135" s="480"/>
      <c r="G135" s="480"/>
      <c r="H135" s="480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x14ac:dyDescent="0.2">
      <c r="A136" s="480" t="s">
        <v>747</v>
      </c>
      <c r="B136" s="480"/>
      <c r="C136" s="3"/>
      <c r="E136" s="480"/>
      <c r="F136" s="480"/>
      <c r="G136" s="480"/>
      <c r="H136" s="480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x14ac:dyDescent="0.2">
      <c r="A137" s="480" t="s">
        <v>748</v>
      </c>
      <c r="B137" s="480"/>
      <c r="C137" s="3"/>
      <c r="E137" s="480"/>
      <c r="F137" s="480"/>
      <c r="G137" s="480"/>
      <c r="H137" s="480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 x14ac:dyDescent="0.2">
      <c r="A138" s="480" t="s">
        <v>749</v>
      </c>
      <c r="B138" s="480"/>
      <c r="C138" s="3"/>
      <c r="E138" s="480"/>
      <c r="F138" s="480"/>
      <c r="G138" s="480"/>
      <c r="H138" s="480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 x14ac:dyDescent="0.2">
      <c r="A139" s="480" t="s">
        <v>750</v>
      </c>
      <c r="B139" s="480"/>
      <c r="C139" s="3"/>
      <c r="E139" s="480"/>
      <c r="F139" s="480"/>
      <c r="G139" s="480"/>
      <c r="H139" s="480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 x14ac:dyDescent="0.2">
      <c r="A140" s="480" t="s">
        <v>751</v>
      </c>
      <c r="B140" s="480"/>
      <c r="C140" s="3"/>
      <c r="E140" s="480"/>
      <c r="F140" s="480"/>
      <c r="G140" s="480"/>
      <c r="H140" s="480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 x14ac:dyDescent="0.2">
      <c r="A141" s="480" t="s">
        <v>752</v>
      </c>
      <c r="B141" s="480"/>
      <c r="C141" s="3"/>
      <c r="E141" s="480"/>
      <c r="F141" s="480"/>
      <c r="G141" s="480"/>
      <c r="H141" s="480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 x14ac:dyDescent="0.2">
      <c r="A142" s="480" t="s">
        <v>753</v>
      </c>
      <c r="B142" s="480"/>
      <c r="C142" s="3"/>
      <c r="E142" s="480"/>
      <c r="F142" s="480"/>
      <c r="G142" s="480"/>
      <c r="H142" s="480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 x14ac:dyDescent="0.2">
      <c r="A143" s="480" t="s">
        <v>754</v>
      </c>
      <c r="B143" s="480"/>
      <c r="C143" s="3"/>
      <c r="E143" s="480"/>
      <c r="F143" s="480"/>
      <c r="G143" s="480"/>
      <c r="H143" s="480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 x14ac:dyDescent="0.2">
      <c r="A144" s="480" t="s">
        <v>755</v>
      </c>
      <c r="B144" s="480"/>
      <c r="C144" s="3"/>
      <c r="E144" s="480"/>
      <c r="F144" s="480"/>
      <c r="G144" s="480"/>
      <c r="H144" s="480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x14ac:dyDescent="0.2">
      <c r="A145" s="480" t="s">
        <v>756</v>
      </c>
      <c r="B145" s="480"/>
      <c r="C145" s="3"/>
      <c r="E145" s="480"/>
      <c r="F145" s="480"/>
      <c r="G145" s="480"/>
      <c r="H145" s="480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x14ac:dyDescent="0.2">
      <c r="A146" s="480" t="s">
        <v>758</v>
      </c>
      <c r="B146" s="480"/>
      <c r="C146" s="3"/>
      <c r="E146" s="480"/>
      <c r="F146" s="480"/>
      <c r="G146" s="480"/>
      <c r="H146" s="480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x14ac:dyDescent="0.2">
      <c r="A147" s="480" t="s">
        <v>757</v>
      </c>
      <c r="B147" s="480"/>
      <c r="C147" s="3"/>
      <c r="E147" s="480"/>
      <c r="F147" s="480"/>
      <c r="G147" s="480"/>
      <c r="H147" s="480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x14ac:dyDescent="0.2">
      <c r="A148" s="480" t="s">
        <v>759</v>
      </c>
      <c r="B148" s="480"/>
      <c r="C148" s="3"/>
      <c r="E148" s="480"/>
      <c r="F148" s="480"/>
      <c r="G148" s="480"/>
      <c r="H148" s="480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x14ac:dyDescent="0.2">
      <c r="A149" s="480" t="s">
        <v>760</v>
      </c>
      <c r="B149" s="480"/>
      <c r="C149" s="3"/>
      <c r="E149" s="480"/>
      <c r="F149" s="480"/>
      <c r="G149" s="480"/>
      <c r="H149" s="480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x14ac:dyDescent="0.2">
      <c r="A150" s="480" t="s">
        <v>761</v>
      </c>
      <c r="B150" s="480"/>
      <c r="C150" s="3"/>
      <c r="E150" s="480"/>
      <c r="F150" s="480"/>
      <c r="G150" s="480"/>
      <c r="H150" s="480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x14ac:dyDescent="0.2">
      <c r="A151" s="480" t="s">
        <v>762</v>
      </c>
      <c r="B151" s="480"/>
      <c r="C151" s="3"/>
      <c r="E151" s="480"/>
      <c r="F151" s="480"/>
      <c r="G151" s="480"/>
      <c r="H151" s="480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x14ac:dyDescent="0.2">
      <c r="A152" s="480" t="s">
        <v>763</v>
      </c>
      <c r="B152" s="480"/>
      <c r="C152" s="3"/>
      <c r="E152" s="480"/>
      <c r="F152" s="480"/>
      <c r="G152" s="480"/>
      <c r="H152" s="480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x14ac:dyDescent="0.2">
      <c r="A153" s="480" t="s">
        <v>764</v>
      </c>
      <c r="B153" s="480"/>
      <c r="C153" s="3"/>
      <c r="E153" s="480"/>
      <c r="F153" s="480"/>
      <c r="G153" s="480"/>
      <c r="H153" s="480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x14ac:dyDescent="0.2">
      <c r="A154" s="480" t="s">
        <v>765</v>
      </c>
      <c r="B154" s="480"/>
      <c r="C154" s="3"/>
      <c r="E154" s="480"/>
      <c r="F154" s="480"/>
      <c r="G154" s="480"/>
      <c r="H154" s="480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 x14ac:dyDescent="0.2">
      <c r="A155" s="480" t="s">
        <v>766</v>
      </c>
      <c r="B155" s="480"/>
      <c r="C155" s="3"/>
      <c r="E155" s="480"/>
      <c r="F155" s="480"/>
      <c r="G155" s="480"/>
      <c r="H155" s="480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 x14ac:dyDescent="0.2">
      <c r="A156" s="480" t="s">
        <v>767</v>
      </c>
      <c r="B156" s="480"/>
      <c r="C156" s="3"/>
      <c r="E156" s="480"/>
      <c r="F156" s="480"/>
      <c r="G156" s="480"/>
      <c r="H156" s="480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 x14ac:dyDescent="0.2">
      <c r="A157" s="480" t="s">
        <v>768</v>
      </c>
      <c r="B157" s="480"/>
      <c r="C157" s="3"/>
      <c r="E157" s="480"/>
      <c r="F157" s="480"/>
      <c r="G157" s="480"/>
      <c r="H157" s="480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x14ac:dyDescent="0.2">
      <c r="A158" s="480" t="s">
        <v>769</v>
      </c>
      <c r="B158" s="480"/>
      <c r="C158" s="3"/>
      <c r="E158" s="480"/>
      <c r="F158" s="480"/>
      <c r="G158" s="480"/>
      <c r="H158" s="480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x14ac:dyDescent="0.2">
      <c r="A159" s="480" t="s">
        <v>770</v>
      </c>
      <c r="B159" s="480"/>
      <c r="C159" s="3"/>
      <c r="E159" s="480"/>
      <c r="F159" s="480"/>
      <c r="G159" s="480"/>
      <c r="H159" s="480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x14ac:dyDescent="0.2">
      <c r="A160" s="480" t="s">
        <v>771</v>
      </c>
      <c r="B160" s="480"/>
      <c r="C160" s="3"/>
      <c r="E160" s="480"/>
      <c r="F160" s="480"/>
      <c r="G160" s="480"/>
      <c r="H160" s="480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x14ac:dyDescent="0.2">
      <c r="A161" s="480" t="s">
        <v>772</v>
      </c>
      <c r="B161" s="480"/>
      <c r="C161" s="3"/>
      <c r="E161" s="480"/>
      <c r="F161" s="480"/>
      <c r="G161" s="480"/>
      <c r="H161" s="480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x14ac:dyDescent="0.2">
      <c r="A162" s="480" t="s">
        <v>773</v>
      </c>
      <c r="B162" s="480"/>
      <c r="C162" s="3"/>
      <c r="E162" s="480"/>
      <c r="F162" s="480"/>
      <c r="G162" s="480"/>
      <c r="H162" s="480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x14ac:dyDescent="0.2">
      <c r="A163" s="480" t="s">
        <v>774</v>
      </c>
      <c r="B163" s="480"/>
      <c r="C163" s="3"/>
      <c r="E163" s="480"/>
      <c r="F163" s="480"/>
      <c r="G163" s="480"/>
      <c r="H163" s="480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x14ac:dyDescent="0.2">
      <c r="A164" s="480" t="s">
        <v>775</v>
      </c>
      <c r="B164" s="480"/>
      <c r="C164" s="3"/>
      <c r="E164" s="480"/>
      <c r="F164" s="480"/>
      <c r="G164" s="480"/>
      <c r="H164" s="480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x14ac:dyDescent="0.2">
      <c r="A165" s="480" t="s">
        <v>776</v>
      </c>
      <c r="B165" s="480"/>
      <c r="C165" s="3"/>
      <c r="E165" s="480"/>
      <c r="F165" s="480"/>
      <c r="G165" s="480"/>
      <c r="H165" s="480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x14ac:dyDescent="0.2">
      <c r="A166" s="480" t="s">
        <v>777</v>
      </c>
      <c r="B166" s="480"/>
      <c r="C166" s="3"/>
      <c r="E166" s="480"/>
      <c r="F166" s="480"/>
      <c r="G166" s="480"/>
      <c r="H166" s="480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x14ac:dyDescent="0.2">
      <c r="A167" s="480" t="s">
        <v>778</v>
      </c>
      <c r="B167" s="480"/>
      <c r="C167" s="3"/>
      <c r="E167" s="480"/>
      <c r="F167" s="480"/>
      <c r="G167" s="480"/>
      <c r="H167" s="480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x14ac:dyDescent="0.2">
      <c r="A168" s="480" t="s">
        <v>779</v>
      </c>
      <c r="B168" s="480"/>
      <c r="C168" s="3"/>
      <c r="E168" s="480"/>
      <c r="F168" s="480"/>
      <c r="G168" s="480"/>
      <c r="H168" s="480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x14ac:dyDescent="0.2">
      <c r="A169" s="480" t="s">
        <v>780</v>
      </c>
      <c r="B169" s="480"/>
      <c r="C169" s="3"/>
      <c r="E169" s="480"/>
      <c r="F169" s="480"/>
      <c r="G169" s="480"/>
      <c r="H169" s="480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x14ac:dyDescent="0.2">
      <c r="A170" s="480" t="s">
        <v>781</v>
      </c>
      <c r="B170" s="480"/>
      <c r="C170" s="3"/>
      <c r="E170" s="480"/>
      <c r="F170" s="480"/>
      <c r="G170" s="480"/>
      <c r="H170" s="480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x14ac:dyDescent="0.2">
      <c r="A171" s="480" t="s">
        <v>782</v>
      </c>
      <c r="B171" s="480"/>
      <c r="C171" s="3"/>
      <c r="E171" s="480"/>
      <c r="F171" s="480"/>
      <c r="G171" s="480"/>
      <c r="H171" s="480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x14ac:dyDescent="0.2">
      <c r="A172" s="480" t="s">
        <v>783</v>
      </c>
      <c r="B172" s="480"/>
      <c r="C172" s="3"/>
      <c r="E172" s="480"/>
      <c r="F172" s="480"/>
      <c r="G172" s="480"/>
      <c r="H172" s="480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x14ac:dyDescent="0.2">
      <c r="A173" s="480" t="s">
        <v>784</v>
      </c>
      <c r="B173" s="480"/>
      <c r="C173" s="3"/>
      <c r="E173" s="480"/>
      <c r="F173" s="480"/>
      <c r="G173" s="480"/>
      <c r="H173" s="480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x14ac:dyDescent="0.2">
      <c r="A174" s="480" t="s">
        <v>785</v>
      </c>
      <c r="B174" s="480"/>
      <c r="C174" s="3"/>
      <c r="E174" s="480"/>
      <c r="F174" s="480"/>
      <c r="G174" s="480"/>
      <c r="H174" s="480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x14ac:dyDescent="0.2">
      <c r="A175" s="480" t="s">
        <v>786</v>
      </c>
      <c r="B175" s="480"/>
      <c r="C175" s="3"/>
      <c r="E175" s="480"/>
      <c r="F175" s="480"/>
      <c r="G175" s="480"/>
      <c r="H175" s="480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x14ac:dyDescent="0.2">
      <c r="A176" s="480" t="s">
        <v>787</v>
      </c>
      <c r="B176" s="480"/>
      <c r="C176" s="3"/>
      <c r="E176" s="480"/>
      <c r="F176" s="480"/>
      <c r="G176" s="480"/>
      <c r="H176" s="480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x14ac:dyDescent="0.2">
      <c r="A177" s="480" t="s">
        <v>788</v>
      </c>
      <c r="B177" s="480"/>
      <c r="C177" s="3"/>
      <c r="E177" s="480"/>
      <c r="F177" s="480"/>
      <c r="G177" s="480"/>
      <c r="H177" s="480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x14ac:dyDescent="0.2">
      <c r="A178" s="480" t="s">
        <v>789</v>
      </c>
      <c r="B178" s="480"/>
      <c r="C178" s="3"/>
      <c r="E178" s="480"/>
      <c r="F178" s="480"/>
      <c r="G178" s="480"/>
      <c r="H178" s="480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x14ac:dyDescent="0.2">
      <c r="A179" s="480" t="s">
        <v>790</v>
      </c>
      <c r="B179" s="480"/>
      <c r="C179" s="3"/>
      <c r="E179" s="480"/>
      <c r="F179" s="480"/>
      <c r="G179" s="480"/>
      <c r="H179" s="480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x14ac:dyDescent="0.2">
      <c r="A180" s="480" t="s">
        <v>791</v>
      </c>
      <c r="B180" s="480"/>
      <c r="C180" s="3"/>
      <c r="E180" s="480"/>
      <c r="F180" s="480"/>
      <c r="G180" s="480"/>
      <c r="H180" s="480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x14ac:dyDescent="0.2">
      <c r="A181" s="480" t="s">
        <v>792</v>
      </c>
      <c r="B181" s="480"/>
      <c r="C181" s="3"/>
      <c r="E181" s="480"/>
      <c r="F181" s="480"/>
      <c r="G181" s="480"/>
      <c r="H181" s="480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 x14ac:dyDescent="0.2">
      <c r="A182" s="480" t="s">
        <v>833</v>
      </c>
      <c r="B182" s="480"/>
      <c r="C182" s="3"/>
      <c r="E182" s="480"/>
      <c r="F182" s="480"/>
      <c r="G182" s="480"/>
      <c r="H182" s="480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 x14ac:dyDescent="0.2">
      <c r="A183" s="480" t="s">
        <v>834</v>
      </c>
      <c r="B183" s="480"/>
      <c r="C183" s="3"/>
      <c r="E183" s="480"/>
      <c r="F183" s="480"/>
      <c r="G183" s="480"/>
      <c r="H183" s="480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 x14ac:dyDescent="0.2">
      <c r="A184" s="480" t="s">
        <v>794</v>
      </c>
      <c r="B184" s="480"/>
      <c r="C184" s="3"/>
      <c r="E184" s="480"/>
      <c r="F184" s="480"/>
      <c r="G184" s="480"/>
      <c r="H184" s="480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 x14ac:dyDescent="0.2">
      <c r="A185" s="480" t="s">
        <v>795</v>
      </c>
      <c r="B185" s="480"/>
      <c r="C185" s="3"/>
      <c r="E185" s="480"/>
      <c r="F185" s="480"/>
      <c r="G185" s="480"/>
      <c r="H185" s="480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 x14ac:dyDescent="0.2">
      <c r="A186" s="480" t="s">
        <v>796</v>
      </c>
      <c r="B186" s="480"/>
      <c r="C186" s="3"/>
      <c r="E186" s="480"/>
      <c r="F186" s="480"/>
      <c r="G186" s="480"/>
      <c r="H186" s="480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 x14ac:dyDescent="0.2">
      <c r="A187" s="480" t="s">
        <v>797</v>
      </c>
      <c r="B187" s="480"/>
      <c r="C187" s="3"/>
      <c r="E187" s="480"/>
      <c r="F187" s="480"/>
      <c r="G187" s="480"/>
      <c r="H187" s="480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 x14ac:dyDescent="0.2">
      <c r="A188" s="480" t="s">
        <v>798</v>
      </c>
      <c r="B188" s="480"/>
      <c r="C188" s="3"/>
      <c r="E188" s="480"/>
      <c r="F188" s="480"/>
      <c r="G188" s="480"/>
      <c r="H188" s="480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 x14ac:dyDescent="0.2">
      <c r="A189" s="480" t="s">
        <v>799</v>
      </c>
      <c r="B189" s="480"/>
      <c r="C189" s="3"/>
      <c r="E189" s="480"/>
      <c r="F189" s="480"/>
      <c r="G189" s="480"/>
      <c r="H189" s="480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 x14ac:dyDescent="0.2">
      <c r="A190" s="480" t="s">
        <v>800</v>
      </c>
      <c r="B190" s="480"/>
      <c r="C190" s="3"/>
      <c r="E190" s="480"/>
      <c r="F190" s="480"/>
      <c r="G190" s="480"/>
      <c r="H190" s="480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 x14ac:dyDescent="0.2">
      <c r="A191" s="480" t="s">
        <v>801</v>
      </c>
      <c r="B191" s="480"/>
      <c r="C191" s="3"/>
      <c r="E191" s="480"/>
      <c r="F191" s="480"/>
      <c r="G191" s="480"/>
      <c r="H191" s="480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 x14ac:dyDescent="0.2">
      <c r="A192" s="480" t="s">
        <v>802</v>
      </c>
      <c r="B192" s="480"/>
      <c r="C192" s="3"/>
      <c r="E192" s="480"/>
      <c r="F192" s="480"/>
      <c r="G192" s="480"/>
      <c r="H192" s="480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 x14ac:dyDescent="0.2">
      <c r="A193" s="480" t="s">
        <v>793</v>
      </c>
      <c r="B193" s="480"/>
      <c r="C193" s="3"/>
      <c r="E193" s="480"/>
      <c r="F193" s="480"/>
      <c r="G193" s="480"/>
      <c r="H193" s="480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 x14ac:dyDescent="0.2">
      <c r="A194" s="480" t="s">
        <v>803</v>
      </c>
      <c r="B194" s="480"/>
      <c r="C194" s="3"/>
      <c r="E194" s="480"/>
      <c r="F194" s="480"/>
      <c r="G194" s="480"/>
      <c r="H194" s="480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 x14ac:dyDescent="0.2">
      <c r="A195" s="480" t="s">
        <v>804</v>
      </c>
      <c r="B195" s="480"/>
      <c r="C195" s="3"/>
      <c r="E195" s="480"/>
      <c r="F195" s="480"/>
      <c r="G195" s="480"/>
      <c r="H195" s="480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x14ac:dyDescent="0.2">
      <c r="A196" s="480" t="s">
        <v>805</v>
      </c>
      <c r="B196" s="480"/>
      <c r="C196" s="3"/>
      <c r="E196" s="480"/>
      <c r="F196" s="480"/>
      <c r="G196" s="480"/>
      <c r="H196" s="480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x14ac:dyDescent="0.2">
      <c r="A197" s="480" t="s">
        <v>806</v>
      </c>
      <c r="B197" s="480"/>
      <c r="C197" s="3"/>
      <c r="E197" s="480"/>
      <c r="F197" s="480"/>
      <c r="G197" s="480"/>
      <c r="H197" s="480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x14ac:dyDescent="0.2">
      <c r="A198" s="480" t="s">
        <v>807</v>
      </c>
      <c r="B198" s="480"/>
      <c r="C198" s="3"/>
      <c r="E198" s="480"/>
      <c r="F198" s="480"/>
      <c r="G198" s="480"/>
      <c r="H198" s="480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x14ac:dyDescent="0.2">
      <c r="A199" s="480" t="s">
        <v>808</v>
      </c>
      <c r="B199" s="480"/>
      <c r="C199" s="3"/>
      <c r="E199" s="480"/>
      <c r="F199" s="480"/>
      <c r="G199" s="480"/>
      <c r="H199" s="480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x14ac:dyDescent="0.2">
      <c r="A200" s="480" t="s">
        <v>809</v>
      </c>
      <c r="B200" s="480"/>
      <c r="C200" s="3"/>
      <c r="E200" s="480"/>
      <c r="F200" s="480"/>
      <c r="G200" s="480"/>
      <c r="H200" s="480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x14ac:dyDescent="0.2">
      <c r="A201" s="480" t="s">
        <v>810</v>
      </c>
      <c r="B201" s="480"/>
      <c r="C201" s="3"/>
      <c r="E201" s="480"/>
      <c r="F201" s="480"/>
      <c r="G201" s="480"/>
      <c r="H201" s="480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x14ac:dyDescent="0.2">
      <c r="A202" s="480" t="s">
        <v>811</v>
      </c>
      <c r="B202" s="480"/>
      <c r="C202" s="3"/>
      <c r="E202" s="480"/>
      <c r="F202" s="480"/>
      <c r="G202" s="480"/>
      <c r="H202" s="480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x14ac:dyDescent="0.2">
      <c r="A203" s="480" t="s">
        <v>812</v>
      </c>
      <c r="B203" s="480"/>
      <c r="C203" s="3"/>
      <c r="E203" s="480"/>
      <c r="F203" s="480"/>
      <c r="G203" s="480"/>
      <c r="H203" s="480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 x14ac:dyDescent="0.2">
      <c r="A204" s="480" t="s">
        <v>813</v>
      </c>
      <c r="B204" s="480"/>
      <c r="C204" s="3"/>
      <c r="E204" s="480"/>
      <c r="F204" s="480"/>
      <c r="G204" s="480"/>
      <c r="H204" s="480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 x14ac:dyDescent="0.2">
      <c r="A205" s="480" t="s">
        <v>814</v>
      </c>
      <c r="B205" s="480"/>
      <c r="C205" s="3"/>
      <c r="E205" s="480"/>
      <c r="F205" s="480"/>
      <c r="G205" s="480"/>
      <c r="H205" s="480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 x14ac:dyDescent="0.2">
      <c r="A206" s="480" t="s">
        <v>815</v>
      </c>
      <c r="B206" s="480"/>
      <c r="C206" s="3"/>
      <c r="E206" s="480"/>
      <c r="F206" s="480"/>
      <c r="G206" s="480"/>
      <c r="H206" s="480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 x14ac:dyDescent="0.2">
      <c r="A207" s="480" t="s">
        <v>816</v>
      </c>
      <c r="B207" s="480"/>
      <c r="C207" s="3"/>
      <c r="E207" s="480"/>
      <c r="F207" s="480"/>
      <c r="G207" s="480"/>
      <c r="H207" s="480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 x14ac:dyDescent="0.2">
      <c r="A208" s="480" t="s">
        <v>817</v>
      </c>
      <c r="B208" s="480"/>
      <c r="C208" s="3"/>
      <c r="E208" s="480"/>
      <c r="F208" s="480"/>
      <c r="G208" s="480"/>
      <c r="H208" s="480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 x14ac:dyDescent="0.2">
      <c r="A209" s="480" t="s">
        <v>818</v>
      </c>
      <c r="B209" s="480"/>
      <c r="C209" s="3"/>
      <c r="E209" s="480"/>
      <c r="F209" s="480"/>
      <c r="G209" s="480"/>
      <c r="H209" s="480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 x14ac:dyDescent="0.2">
      <c r="A210" s="480" t="s">
        <v>819</v>
      </c>
      <c r="B210" s="480"/>
      <c r="C210" s="3"/>
      <c r="E210" s="480"/>
      <c r="F210" s="480"/>
      <c r="G210" s="480"/>
      <c r="H210" s="480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 x14ac:dyDescent="0.2">
      <c r="A211" s="480" t="s">
        <v>820</v>
      </c>
      <c r="B211" s="480"/>
      <c r="C211" s="3"/>
      <c r="E211" s="480"/>
      <c r="F211" s="480"/>
      <c r="G211" s="480"/>
      <c r="H211" s="480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 x14ac:dyDescent="0.2">
      <c r="A212" s="480" t="s">
        <v>821</v>
      </c>
      <c r="B212" s="480"/>
      <c r="C212" s="3"/>
      <c r="E212" s="480"/>
      <c r="F212" s="480"/>
      <c r="G212" s="480"/>
      <c r="H212" s="480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 x14ac:dyDescent="0.2">
      <c r="A213" s="480" t="s">
        <v>822</v>
      </c>
      <c r="B213" s="480"/>
      <c r="C213" s="3"/>
      <c r="E213" s="480"/>
      <c r="F213" s="480"/>
      <c r="G213" s="480"/>
      <c r="H213" s="480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 x14ac:dyDescent="0.2">
      <c r="A214" s="480" t="s">
        <v>823</v>
      </c>
      <c r="B214" s="480"/>
      <c r="C214" s="3"/>
      <c r="E214" s="480"/>
      <c r="F214" s="480"/>
      <c r="G214" s="480"/>
      <c r="H214" s="480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 x14ac:dyDescent="0.2">
      <c r="A215" s="480" t="s">
        <v>824</v>
      </c>
      <c r="B215" s="480"/>
      <c r="C215" s="3"/>
      <c r="E215" s="480"/>
      <c r="F215" s="480"/>
      <c r="G215" s="480"/>
      <c r="H215" s="480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x14ac:dyDescent="0.2">
      <c r="A216" s="480" t="s">
        <v>825</v>
      </c>
      <c r="B216" s="480"/>
      <c r="C216" s="3"/>
      <c r="E216" s="480"/>
      <c r="F216" s="480"/>
      <c r="G216" s="480"/>
      <c r="H216" s="480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 x14ac:dyDescent="0.2">
      <c r="A217" s="480" t="s">
        <v>826</v>
      </c>
      <c r="B217" s="480"/>
      <c r="C217" s="3"/>
      <c r="E217" s="480"/>
      <c r="F217" s="480"/>
      <c r="G217" s="480"/>
      <c r="H217" s="480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 x14ac:dyDescent="0.2">
      <c r="A218" s="480" t="s">
        <v>827</v>
      </c>
      <c r="B218" s="480"/>
      <c r="C218" s="3"/>
      <c r="E218" s="480"/>
      <c r="F218" s="480"/>
      <c r="G218" s="480"/>
      <c r="H218" s="480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 x14ac:dyDescent="0.2">
      <c r="A219" s="480" t="s">
        <v>828</v>
      </c>
      <c r="B219" s="480"/>
      <c r="C219" s="3"/>
      <c r="E219" s="480"/>
      <c r="F219" s="480"/>
      <c r="G219" s="480"/>
      <c r="H219" s="480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 x14ac:dyDescent="0.2">
      <c r="A220" s="480" t="s">
        <v>829</v>
      </c>
      <c r="B220" s="480"/>
      <c r="C220" s="3"/>
      <c r="E220" s="480"/>
      <c r="F220" s="480"/>
      <c r="G220" s="480"/>
      <c r="H220" s="480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52"/>
    </row>
    <row r="221" spans="1:52" x14ac:dyDescent="0.2">
      <c r="A221" s="480" t="s">
        <v>830</v>
      </c>
      <c r="B221" s="480"/>
      <c r="C221" s="3"/>
      <c r="E221" s="480"/>
      <c r="F221" s="480"/>
      <c r="G221" s="480"/>
      <c r="H221" s="480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52"/>
    </row>
    <row r="222" spans="1:52" x14ac:dyDescent="0.2">
      <c r="A222" s="480" t="s">
        <v>831</v>
      </c>
      <c r="B222" s="480"/>
      <c r="C222" s="3"/>
      <c r="E222" s="480"/>
      <c r="F222" s="480"/>
      <c r="G222" s="480"/>
      <c r="H222" s="480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 x14ac:dyDescent="0.2">
      <c r="A223" s="480" t="s">
        <v>684</v>
      </c>
      <c r="B223" s="480"/>
      <c r="C223" s="3"/>
      <c r="E223" s="480"/>
      <c r="F223" s="480"/>
      <c r="G223" s="480"/>
      <c r="H223" s="480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 x14ac:dyDescent="0.2">
      <c r="A224" s="480" t="s">
        <v>683</v>
      </c>
      <c r="B224" s="480"/>
      <c r="C224" s="3"/>
      <c r="E224" s="480"/>
      <c r="F224" s="480"/>
      <c r="G224" s="480"/>
      <c r="H224" s="480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22" x14ac:dyDescent="0.2">
      <c r="A225" s="480" t="s">
        <v>682</v>
      </c>
      <c r="B225" s="480"/>
      <c r="E225" s="480"/>
      <c r="F225" s="480"/>
      <c r="G225" s="480"/>
      <c r="H225" s="480"/>
      <c r="V225" s="3"/>
    </row>
    <row r="226" spans="1:22" x14ac:dyDescent="0.2">
      <c r="A226" s="480" t="s">
        <v>681</v>
      </c>
      <c r="B226" s="36"/>
      <c r="E226" s="36"/>
      <c r="F226" s="36"/>
      <c r="G226" s="36"/>
      <c r="H226" s="36"/>
    </row>
    <row r="227" spans="1:22" x14ac:dyDescent="0.2">
      <c r="A227" s="480" t="s">
        <v>680</v>
      </c>
    </row>
    <row r="228" spans="1:22" x14ac:dyDescent="0.2">
      <c r="A228" s="480" t="s">
        <v>678</v>
      </c>
    </row>
    <row r="229" spans="1:22" x14ac:dyDescent="0.2">
      <c r="A229" s="480" t="s">
        <v>677</v>
      </c>
    </row>
    <row r="230" spans="1:22" x14ac:dyDescent="0.2">
      <c r="A230" s="480" t="s">
        <v>679</v>
      </c>
    </row>
    <row r="231" spans="1:22" x14ac:dyDescent="0.2">
      <c r="A231" s="480" t="s">
        <v>655</v>
      </c>
    </row>
  </sheetData>
  <sortState xmlns:xlrd2="http://schemas.microsoft.com/office/spreadsheetml/2017/richdata2" ref="A5:A231">
    <sortCondition ref="A231"/>
  </sortState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IN141"/>
  <sheetViews>
    <sheetView showGridLines="0" zoomScaleNormal="100" workbookViewId="0">
      <selection activeCell="E20" sqref="E20"/>
    </sheetView>
    <sheetView workbookViewId="1"/>
  </sheetViews>
  <sheetFormatPr defaultColWidth="11.42578125" defaultRowHeight="12.75" x14ac:dyDescent="0.2"/>
  <cols>
    <col min="1" max="1" width="22.28515625" customWidth="1"/>
    <col min="2" max="2" width="15.7109375" customWidth="1"/>
    <col min="3" max="3" width="32.7109375" customWidth="1"/>
    <col min="4" max="4" width="21.42578125" customWidth="1"/>
    <col min="5" max="7" width="15.7109375" customWidth="1"/>
    <col min="8" max="8" width="18.42578125" customWidth="1"/>
    <col min="9" max="9" width="18.85546875" customWidth="1"/>
    <col min="10" max="10" width="19.85546875" customWidth="1"/>
    <col min="11" max="11" width="4.28515625" customWidth="1"/>
  </cols>
  <sheetData>
    <row r="1" spans="1:11" x14ac:dyDescent="0.2">
      <c r="A1" s="5"/>
      <c r="B1" s="5"/>
      <c r="C1" s="25"/>
      <c r="D1" s="26"/>
      <c r="E1" s="24"/>
      <c r="F1" s="23"/>
      <c r="G1" s="27"/>
      <c r="H1" s="6"/>
      <c r="I1" s="6"/>
      <c r="J1" s="6"/>
      <c r="K1" s="6"/>
    </row>
    <row r="2" spans="1:11" ht="15.75" x14ac:dyDescent="0.25">
      <c r="A2" s="12" t="s">
        <v>124</v>
      </c>
      <c r="B2" s="13" t="str">
        <f>H_ENGINE_TYPE</f>
        <v>CFM56_7B</v>
      </c>
      <c r="C2" s="14"/>
      <c r="D2" s="9"/>
      <c r="E2" s="30"/>
      <c r="F2" s="31"/>
      <c r="G2" s="36"/>
      <c r="H2" s="12" t="s">
        <v>217</v>
      </c>
      <c r="I2" s="7"/>
      <c r="J2" s="19" t="str">
        <f>C52:J52</f>
        <v>19-8053</v>
      </c>
      <c r="K2" s="28"/>
    </row>
    <row r="3" spans="1:11" ht="15.75" x14ac:dyDescent="0.25">
      <c r="A3" s="12" t="s">
        <v>125</v>
      </c>
      <c r="B3" s="13" t="str">
        <f>H_CUSTOMER_NAME</f>
        <v>AFR</v>
      </c>
      <c r="C3" s="14"/>
      <c r="D3" s="9"/>
      <c r="E3" s="32"/>
      <c r="F3" s="33"/>
      <c r="G3" s="36"/>
      <c r="H3" s="12" t="s">
        <v>213</v>
      </c>
      <c r="I3" s="8"/>
      <c r="J3" s="21">
        <f>H_ESM_REV_NO</f>
        <v>74</v>
      </c>
      <c r="K3" s="29"/>
    </row>
    <row r="4" spans="1:11" ht="15.75" x14ac:dyDescent="0.25">
      <c r="A4" s="12" t="s">
        <v>127</v>
      </c>
      <c r="B4" s="13">
        <f>H_ENGINE_SERIAL_NO</f>
        <v>575499</v>
      </c>
      <c r="C4" s="14"/>
      <c r="D4" s="34"/>
      <c r="E4" s="30"/>
      <c r="F4" s="31"/>
      <c r="G4" s="36"/>
      <c r="H4" s="12" t="s">
        <v>214</v>
      </c>
      <c r="I4" s="7"/>
      <c r="J4" s="41" t="str">
        <f>H_ENG_CONF_3</f>
        <v>WL</v>
      </c>
      <c r="K4" s="28"/>
    </row>
    <row r="5" spans="1:11" ht="15" customHeight="1" x14ac:dyDescent="0.25">
      <c r="A5" s="12" t="s">
        <v>131</v>
      </c>
      <c r="B5" s="13" t="str">
        <f>H_ENG_CONF</f>
        <v>B4_P,B4_3</v>
      </c>
      <c r="C5" s="14"/>
      <c r="D5" s="9"/>
      <c r="E5" s="32"/>
      <c r="F5" s="31"/>
      <c r="G5" s="36"/>
      <c r="H5" s="12" t="s">
        <v>130</v>
      </c>
      <c r="I5" s="7"/>
      <c r="J5" s="19" t="str">
        <f>H_ECU_SOFT</f>
        <v>5BT.F1</v>
      </c>
      <c r="K5" s="28"/>
    </row>
    <row r="6" spans="1:11" ht="15.75" x14ac:dyDescent="0.25">
      <c r="A6" s="12" t="s">
        <v>215</v>
      </c>
      <c r="B6" s="13" t="str">
        <f>H_TEST_TYPE</f>
        <v>Performance Test</v>
      </c>
      <c r="C6" s="14"/>
      <c r="D6" s="30"/>
      <c r="E6" s="30"/>
      <c r="F6" s="31"/>
      <c r="G6" s="36"/>
      <c r="H6" s="12" t="s">
        <v>126</v>
      </c>
      <c r="I6" s="7"/>
      <c r="J6" s="19" t="str">
        <f>H_OIL_TYPE</f>
        <v>EX2380</v>
      </c>
      <c r="K6" s="28"/>
    </row>
    <row r="7" spans="1:11" ht="18" customHeight="1" x14ac:dyDescent="0.25">
      <c r="A7" s="12" t="s">
        <v>128</v>
      </c>
      <c r="B7" s="40">
        <f>H_TEST_DATE</f>
        <v>43729.338773148149</v>
      </c>
      <c r="C7" s="14"/>
      <c r="D7" s="498" t="s">
        <v>313</v>
      </c>
      <c r="E7" s="499"/>
      <c r="F7" s="499"/>
      <c r="G7" s="500"/>
      <c r="H7" s="12" t="s">
        <v>129</v>
      </c>
      <c r="I7" s="7"/>
      <c r="J7" s="21" t="str">
        <f>H_EXHAUST_NOZZLE</f>
        <v>Flight</v>
      </c>
      <c r="K7" s="28"/>
    </row>
    <row r="8" spans="1:11" ht="18" customHeight="1" x14ac:dyDescent="0.25">
      <c r="A8" s="12" t="s">
        <v>133</v>
      </c>
      <c r="B8" s="13" t="str">
        <f>H_ENG_QUALITY_REPAIR</f>
        <v>NQSV</v>
      </c>
      <c r="C8" s="14"/>
      <c r="D8" s="498"/>
      <c r="E8" s="499"/>
      <c r="F8" s="499"/>
      <c r="G8" s="500"/>
      <c r="H8" s="12" t="s">
        <v>134</v>
      </c>
      <c r="I8" s="7"/>
      <c r="J8" s="21">
        <f>H_BONUS_WORKSCOPE</f>
        <v>10</v>
      </c>
      <c r="K8" s="28"/>
    </row>
    <row r="9" spans="1:11" x14ac:dyDescent="0.2">
      <c r="K9" s="36"/>
    </row>
    <row r="10" spans="1:11" x14ac:dyDescent="0.2">
      <c r="B10" s="22"/>
      <c r="K10" s="36"/>
    </row>
    <row r="11" spans="1:11" s="104" customFormat="1" ht="15.75" x14ac:dyDescent="0.25">
      <c r="A11" s="129" t="s">
        <v>135</v>
      </c>
      <c r="B11" s="130" t="s">
        <v>136</v>
      </c>
      <c r="C11" s="131" t="s">
        <v>137</v>
      </c>
      <c r="D11" s="131" t="s">
        <v>138</v>
      </c>
      <c r="E11" s="131" t="s">
        <v>204</v>
      </c>
      <c r="F11" s="131" t="s">
        <v>205</v>
      </c>
      <c r="G11" s="131"/>
      <c r="H11" s="131"/>
      <c r="I11" s="131"/>
      <c r="J11" s="131" t="s">
        <v>139</v>
      </c>
    </row>
    <row r="12" spans="1:11" x14ac:dyDescent="0.2">
      <c r="B12" s="22"/>
    </row>
    <row r="13" spans="1:11" ht="14.25" x14ac:dyDescent="0.2">
      <c r="A13" s="104" t="s">
        <v>166</v>
      </c>
      <c r="B13" s="128"/>
      <c r="C13" s="104">
        <f>C_Engine_Configuration_1 S_mini_idle</f>
        <v>0</v>
      </c>
      <c r="D13" s="104">
        <f>C_Engine_Configuration_1 S_approach_idle</f>
        <v>0</v>
      </c>
      <c r="E13" s="104">
        <f>C_Engine_Configuration_1 S_maxi_continu1</f>
        <v>0</v>
      </c>
      <c r="F13" s="104">
        <f>C_Engine_Configuration_1 S_take_off1</f>
        <v>0</v>
      </c>
      <c r="G13" s="104"/>
      <c r="H13" s="104"/>
      <c r="I13" s="104"/>
      <c r="J13" s="104">
        <f>C_Engine_Configuration_1 S_Shut_D_oil_fuel</f>
        <v>0</v>
      </c>
    </row>
    <row r="14" spans="1:11" ht="14.25" x14ac:dyDescent="0.2">
      <c r="A14" s="104" t="s">
        <v>121</v>
      </c>
      <c r="B14" s="128"/>
      <c r="C14" s="107">
        <f xml:space="preserve"> VLOOKUP(C_Engine_Rating S_mini_idle,enum_list!$A$2:$F$102,3,1)</f>
        <v>0</v>
      </c>
      <c r="D14" s="107">
        <f xml:space="preserve"> VLOOKUP(C_Engine_Rating S_approach_idle,enum_list!$A$2:$F$102,3,1)</f>
        <v>0</v>
      </c>
      <c r="E14" s="107">
        <f xml:space="preserve"> VLOOKUP(C_Engine_Rating S_maxi_continu1,enum_list!A2:F102,3,1)</f>
        <v>0</v>
      </c>
      <c r="F14" s="107">
        <f xml:space="preserve"> VLOOKUP(C_Engine_Rating S_take_off1,enum_list!A2:F102,3,1)</f>
        <v>0</v>
      </c>
      <c r="G14" s="107"/>
      <c r="H14" s="107"/>
      <c r="I14" s="107"/>
      <c r="J14" s="107">
        <f xml:space="preserve"> VLOOKUP(C_Engine_Rating  S_Shut_D_oil_fuel,enum_list!A2:F102,3,1)</f>
        <v>0</v>
      </c>
    </row>
    <row r="15" spans="1:11" ht="14.25" x14ac:dyDescent="0.2">
      <c r="A15" s="104" t="s">
        <v>140</v>
      </c>
      <c r="B15" s="128"/>
      <c r="C15" s="107" t="str">
        <f xml:space="preserve"> VLOOKUP(C_Engineer_Name S_mini_idle,enum_list!A2:F102,2,1)</f>
        <v>Rytkonen</v>
      </c>
      <c r="D15" s="107" t="str">
        <f xml:space="preserve"> VLOOKUP(C_Engineer_Name S_approach_idle,enum_list!A2:F102,2,1)</f>
        <v>Rytkonen</v>
      </c>
      <c r="E15" s="107" t="str">
        <f xml:space="preserve"> VLOOKUP(C_Engineer_Name S_maxi_continu1,enum_list!A2:F102,2,1)</f>
        <v>Rytkonen</v>
      </c>
      <c r="F15" s="107" t="str">
        <f xml:space="preserve"> VLOOKUP(C_Engineer_Name S_take_off1,enum_list!A2:F102,2,1)</f>
        <v>Rytkonen</v>
      </c>
      <c r="G15" s="107"/>
      <c r="H15" s="107"/>
      <c r="I15" s="107"/>
      <c r="J15" s="107" t="str">
        <f xml:space="preserve"> VLOOKUP(C_Engineer_Name S_Shut_D_oil_fuel,enum_list!A2:F102,2,1)</f>
        <v>Rytkonen</v>
      </c>
    </row>
    <row r="16" spans="1:11" ht="14.25" x14ac:dyDescent="0.2">
      <c r="A16" s="104" t="s">
        <v>141</v>
      </c>
      <c r="B16" s="128"/>
      <c r="C16" s="107" t="str">
        <f xml:space="preserve"> VLOOKUP(C_Operator_Name S_mini_idle,enum_list!$A2:$G102,7,1)</f>
        <v>Rytkonen</v>
      </c>
      <c r="D16" s="107" t="str">
        <f xml:space="preserve"> VLOOKUP(C_Operator_Name  S_approach_idle,enum_list!$A2:$G102,7,1)</f>
        <v>Rytkonen</v>
      </c>
      <c r="E16" s="107" t="str">
        <f xml:space="preserve"> VLOOKUP(C_Operator_Name  S_maxi_continu1,enum_list!A2:G102,7,1)</f>
        <v>Rytkonen</v>
      </c>
      <c r="F16" s="107" t="str">
        <f xml:space="preserve"> VLOOKUP(C_Operator_Name S_take_off1,enum_list!A2:G102,7,1)</f>
        <v>Rytkonen</v>
      </c>
      <c r="G16" s="107"/>
      <c r="H16" s="107"/>
      <c r="I16" s="107"/>
      <c r="J16" s="107" t="str">
        <f xml:space="preserve"> VLOOKUP(C_Operator_Name S_Shut_D_oil_fuel,enum_list!A2:G102,7,1)</f>
        <v>Rytkonen</v>
      </c>
    </row>
    <row r="17" spans="1:10" ht="14.25" x14ac:dyDescent="0.2">
      <c r="A17" s="104" t="s">
        <v>185</v>
      </c>
      <c r="B17" s="128"/>
      <c r="C17" s="108">
        <f>C_DateDays S_mini_idle</f>
        <v>0</v>
      </c>
      <c r="D17" s="109">
        <f>C_DateDays  S_approach_idle</f>
        <v>0</v>
      </c>
      <c r="E17" s="108">
        <f>C_DateDays  S_maxi_continu1</f>
        <v>0</v>
      </c>
      <c r="F17" s="109">
        <f>C_DateDays S_take_off1</f>
        <v>0</v>
      </c>
      <c r="G17" s="109"/>
      <c r="H17" s="109"/>
      <c r="I17" s="109"/>
      <c r="J17" s="109">
        <f>C_DateDays S_Shut_D_oil_fuel</f>
        <v>0</v>
      </c>
    </row>
    <row r="18" spans="1:10" ht="14.25" x14ac:dyDescent="0.2">
      <c r="A18" s="104" t="s">
        <v>167</v>
      </c>
      <c r="B18" s="128"/>
      <c r="C18" s="110">
        <f>C_DateTime S_mini_idle</f>
        <v>0</v>
      </c>
      <c r="D18" s="111">
        <f>C_DateTime S_approach_idle</f>
        <v>0</v>
      </c>
      <c r="E18" s="110">
        <f>C_DateTime S_maxi_continu1</f>
        <v>0</v>
      </c>
      <c r="F18" s="111">
        <f>C_DateTime S_take_off1</f>
        <v>0</v>
      </c>
      <c r="G18" s="111"/>
      <c r="H18" s="111"/>
      <c r="I18" s="111"/>
      <c r="J18" s="111">
        <f>C_DateTime S_Shut_D_oil_fuel</f>
        <v>0</v>
      </c>
    </row>
    <row r="19" spans="1:10" ht="14.25" x14ac:dyDescent="0.2">
      <c r="A19" s="104"/>
      <c r="B19" s="128"/>
      <c r="C19" s="110"/>
      <c r="D19" s="111"/>
      <c r="E19" s="110"/>
      <c r="F19" s="111"/>
      <c r="G19" s="111"/>
      <c r="H19" s="111"/>
      <c r="I19" s="111"/>
      <c r="J19" s="111"/>
    </row>
    <row r="20" spans="1:10" ht="15" x14ac:dyDescent="0.2">
      <c r="A20" s="98" t="s">
        <v>32</v>
      </c>
      <c r="B20" s="106" t="s">
        <v>30</v>
      </c>
      <c r="C20" s="112">
        <f>C_N1R S_mini_idle</f>
        <v>0</v>
      </c>
      <c r="D20" s="113">
        <f>C_N1R S_approach_idle</f>
        <v>0</v>
      </c>
      <c r="E20" s="112">
        <f>C_N1R S_maxi_continu1</f>
        <v>0</v>
      </c>
      <c r="F20" s="113">
        <f>C_N1R S_take_off1</f>
        <v>0</v>
      </c>
      <c r="G20" s="113"/>
      <c r="H20" s="113"/>
      <c r="I20" s="113"/>
      <c r="J20" s="113" t="s">
        <v>1</v>
      </c>
    </row>
    <row r="21" spans="1:10" ht="15" x14ac:dyDescent="0.2">
      <c r="A21" s="98" t="s">
        <v>35</v>
      </c>
      <c r="B21" s="106" t="s">
        <v>30</v>
      </c>
      <c r="C21" s="114" t="s">
        <v>1</v>
      </c>
      <c r="D21" s="114" t="s">
        <v>1</v>
      </c>
      <c r="E21" s="115">
        <f>C_N2K S_maxi_continu1</f>
        <v>0</v>
      </c>
      <c r="F21" s="115">
        <f>C_N2K S_take_off1</f>
        <v>0</v>
      </c>
      <c r="G21" s="115"/>
      <c r="H21" s="115"/>
      <c r="I21" s="114"/>
      <c r="J21" s="114" t="s">
        <v>1</v>
      </c>
    </row>
    <row r="22" spans="1:10" ht="15" x14ac:dyDescent="0.2">
      <c r="A22" s="98" t="s">
        <v>16</v>
      </c>
      <c r="B22" s="106" t="s">
        <v>147</v>
      </c>
      <c r="C22" s="114" t="s">
        <v>1</v>
      </c>
      <c r="D22" s="114" t="s">
        <v>1</v>
      </c>
      <c r="E22" s="115">
        <f>C_FNK S_maxi_continu1</f>
        <v>0</v>
      </c>
      <c r="F22" s="115">
        <f>C_FNK S_take_off1</f>
        <v>0</v>
      </c>
      <c r="G22" s="115"/>
      <c r="H22" s="115"/>
      <c r="I22" s="114"/>
      <c r="J22" s="114" t="s">
        <v>1</v>
      </c>
    </row>
    <row r="23" spans="1:10" ht="15" x14ac:dyDescent="0.2">
      <c r="A23" s="98" t="s">
        <v>74</v>
      </c>
      <c r="B23" s="106" t="s">
        <v>76</v>
      </c>
      <c r="C23" s="114" t="s">
        <v>1</v>
      </c>
      <c r="D23" s="114" t="s">
        <v>1</v>
      </c>
      <c r="E23" s="112">
        <f>C_W2K S_maxi_continu1</f>
        <v>0</v>
      </c>
      <c r="F23" s="112">
        <f>C_W2K S_take_off1</f>
        <v>0</v>
      </c>
      <c r="G23" s="38"/>
      <c r="H23" s="38"/>
      <c r="I23" s="114"/>
      <c r="J23" s="114" t="s">
        <v>1</v>
      </c>
    </row>
    <row r="24" spans="1:10" ht="15" x14ac:dyDescent="0.2">
      <c r="A24" s="98" t="s">
        <v>77</v>
      </c>
      <c r="B24" s="106" t="s">
        <v>76</v>
      </c>
      <c r="C24" s="114" t="s">
        <v>1</v>
      </c>
      <c r="D24" s="114" t="s">
        <v>1</v>
      </c>
      <c r="E24" s="115">
        <f>C_WFK S_maxi_continu1</f>
        <v>0</v>
      </c>
      <c r="F24" s="115">
        <f>C_WFK S_take_off1</f>
        <v>0</v>
      </c>
      <c r="G24" s="116"/>
      <c r="H24" s="116"/>
      <c r="I24" s="114"/>
      <c r="J24" s="114" t="s">
        <v>1</v>
      </c>
    </row>
    <row r="25" spans="1:10" ht="15" x14ac:dyDescent="0.2">
      <c r="A25" s="98" t="s">
        <v>6</v>
      </c>
      <c r="B25" s="106" t="s">
        <v>148</v>
      </c>
      <c r="C25" s="114" t="s">
        <v>1</v>
      </c>
      <c r="D25" s="114" t="s">
        <v>1</v>
      </c>
      <c r="E25" s="116">
        <f>C_EGTK S_maxi_continu1</f>
        <v>0</v>
      </c>
      <c r="F25" s="116">
        <f>C_EGTK S_take_off1</f>
        <v>0</v>
      </c>
      <c r="G25" s="117"/>
      <c r="H25" s="117"/>
      <c r="I25" s="114"/>
      <c r="J25" s="114" t="s">
        <v>1</v>
      </c>
    </row>
    <row r="26" spans="1:10" ht="15" x14ac:dyDescent="0.2">
      <c r="A26" s="98" t="s">
        <v>63</v>
      </c>
      <c r="B26" s="106" t="s">
        <v>149</v>
      </c>
      <c r="C26" s="114" t="s">
        <v>1</v>
      </c>
      <c r="D26" s="114" t="s">
        <v>1</v>
      </c>
      <c r="E26" s="116" t="e">
        <f>_xlfn.SINGLE(C_SFCK S_maxi_continu1)</f>
        <v>#REF!</v>
      </c>
      <c r="F26" s="116" t="e">
        <f>_xlfn.SINGLE(C_SFCK S_take_off1)</f>
        <v>#REF!</v>
      </c>
      <c r="G26" s="116"/>
      <c r="H26" s="116"/>
      <c r="I26" s="114"/>
      <c r="J26" s="114" t="s">
        <v>1</v>
      </c>
    </row>
    <row r="27" spans="1:10" ht="15" x14ac:dyDescent="0.2">
      <c r="A27" s="98" t="s">
        <v>17</v>
      </c>
      <c r="B27" s="106" t="s">
        <v>3</v>
      </c>
      <c r="C27" s="114" t="s">
        <v>1</v>
      </c>
      <c r="D27" s="114" t="s">
        <v>1</v>
      </c>
      <c r="E27" s="118" t="s">
        <v>1</v>
      </c>
      <c r="F27" s="119">
        <f>C_FNK_TO_MAR S_take_off1</f>
        <v>0</v>
      </c>
      <c r="G27" s="118"/>
      <c r="H27" s="119"/>
      <c r="I27" s="114"/>
      <c r="J27" s="114" t="s">
        <v>1</v>
      </c>
    </row>
    <row r="28" spans="1:10" ht="15" x14ac:dyDescent="0.2">
      <c r="A28" s="98" t="s">
        <v>18</v>
      </c>
      <c r="B28" s="106" t="s">
        <v>147</v>
      </c>
      <c r="C28" s="114" t="s">
        <v>1</v>
      </c>
      <c r="D28" s="114" t="s">
        <v>1</v>
      </c>
      <c r="E28" s="115">
        <f>C_FNKM S_maxi_continu1</f>
        <v>0</v>
      </c>
      <c r="F28" s="115">
        <f>C_FNKM S_take_off1</f>
        <v>0</v>
      </c>
      <c r="G28" s="115"/>
      <c r="H28" s="115"/>
      <c r="I28" s="114"/>
      <c r="J28" s="114" t="s">
        <v>1</v>
      </c>
    </row>
    <row r="29" spans="1:10" ht="15" x14ac:dyDescent="0.2">
      <c r="A29" s="98" t="s">
        <v>142</v>
      </c>
      <c r="B29" s="106" t="s">
        <v>148</v>
      </c>
      <c r="C29" s="114" t="s">
        <v>1</v>
      </c>
      <c r="D29" s="114" t="s">
        <v>1</v>
      </c>
      <c r="E29" s="117">
        <f>C_EGTKM S_maxi_continu1</f>
        <v>0</v>
      </c>
      <c r="F29" s="117">
        <f>C_EGTKM S_take_off1</f>
        <v>0</v>
      </c>
      <c r="G29" s="117"/>
      <c r="H29" s="117"/>
      <c r="I29" s="114"/>
      <c r="J29" s="114" t="s">
        <v>1</v>
      </c>
    </row>
    <row r="30" spans="1:10" ht="15" x14ac:dyDescent="0.2">
      <c r="A30" s="98" t="s">
        <v>36</v>
      </c>
      <c r="B30" s="106" t="s">
        <v>30</v>
      </c>
      <c r="C30" s="114" t="s">
        <v>1</v>
      </c>
      <c r="D30" s="114" t="s">
        <v>1</v>
      </c>
      <c r="E30" s="115">
        <f>C_N2KM S_maxi_continu1</f>
        <v>0</v>
      </c>
      <c r="F30" s="115">
        <f>C_N2KM S_take_off1</f>
        <v>0</v>
      </c>
      <c r="G30" s="115"/>
      <c r="H30" s="115"/>
      <c r="I30" s="114"/>
      <c r="J30" s="114" t="s">
        <v>1</v>
      </c>
    </row>
    <row r="31" spans="1:10" ht="15" x14ac:dyDescent="0.2">
      <c r="A31" s="98" t="s">
        <v>304</v>
      </c>
      <c r="B31" s="106" t="s">
        <v>30</v>
      </c>
      <c r="C31" s="114" t="s">
        <v>1</v>
      </c>
      <c r="D31" s="114" t="s">
        <v>1</v>
      </c>
      <c r="E31" s="115">
        <f>C_N2R2HD S_maxi_continu1</f>
        <v>0</v>
      </c>
      <c r="F31" s="115">
        <f>C_N2R2HD S_take_off1</f>
        <v>0</v>
      </c>
      <c r="G31" s="115"/>
      <c r="H31" s="115"/>
      <c r="I31" s="114"/>
      <c r="J31" s="114" t="s">
        <v>1</v>
      </c>
    </row>
    <row r="32" spans="1:10" ht="15" x14ac:dyDescent="0.2">
      <c r="A32" s="98" t="s">
        <v>34</v>
      </c>
      <c r="B32" s="106" t="s">
        <v>30</v>
      </c>
      <c r="C32" s="114" t="s">
        <v>1</v>
      </c>
      <c r="D32" s="114" t="s">
        <v>1</v>
      </c>
      <c r="E32" s="115">
        <f>C_N2HDM S_maxi_continu1</f>
        <v>0</v>
      </c>
      <c r="F32" s="115">
        <f>C_N2HDM S_take_off1</f>
        <v>0</v>
      </c>
      <c r="G32" s="115"/>
      <c r="H32" s="115"/>
      <c r="I32" s="114"/>
      <c r="J32" s="114" t="s">
        <v>1</v>
      </c>
    </row>
    <row r="33" spans="1:11" ht="15" x14ac:dyDescent="0.2">
      <c r="A33" s="98" t="s">
        <v>4</v>
      </c>
      <c r="B33" s="106" t="s">
        <v>148</v>
      </c>
      <c r="C33" s="114" t="s">
        <v>1</v>
      </c>
      <c r="D33" s="114" t="s">
        <v>1</v>
      </c>
      <c r="E33" s="116">
        <f>C_EGTHD S_maxi_continu1</f>
        <v>0</v>
      </c>
      <c r="F33" s="116">
        <f>C_EGTHD S_take_off1</f>
        <v>0</v>
      </c>
      <c r="G33" s="117"/>
      <c r="H33" s="117"/>
      <c r="I33" s="114"/>
      <c r="J33" s="114" t="s">
        <v>1</v>
      </c>
    </row>
    <row r="34" spans="1:11" ht="15" x14ac:dyDescent="0.2">
      <c r="A34" s="98" t="s">
        <v>170</v>
      </c>
      <c r="B34" s="106" t="s">
        <v>148</v>
      </c>
      <c r="C34" s="114" t="s">
        <v>1</v>
      </c>
      <c r="D34" s="114" t="s">
        <v>1</v>
      </c>
      <c r="E34" s="116">
        <f>C_EGT_TRIM S_maxi_continu1</f>
        <v>0</v>
      </c>
      <c r="F34" s="116">
        <f>C_EGT_TRIM S_take_off1</f>
        <v>0</v>
      </c>
      <c r="G34" s="117"/>
      <c r="H34" s="117"/>
      <c r="I34" s="114"/>
      <c r="J34" s="114" t="s">
        <v>1</v>
      </c>
    </row>
    <row r="35" spans="1:11" ht="15" x14ac:dyDescent="0.2">
      <c r="A35" s="98" t="s">
        <v>5</v>
      </c>
      <c r="B35" s="106" t="s">
        <v>148</v>
      </c>
      <c r="C35" s="114" t="s">
        <v>1</v>
      </c>
      <c r="D35" s="114" t="s">
        <v>1</v>
      </c>
      <c r="E35" s="116">
        <f>C_EGTHDM S_maxi_continu1</f>
        <v>0</v>
      </c>
      <c r="F35" s="116">
        <f>C_EGTHDM S_take_off1</f>
        <v>0</v>
      </c>
      <c r="G35" s="117"/>
      <c r="H35" s="117"/>
      <c r="I35" s="114"/>
      <c r="J35" s="114" t="s">
        <v>1</v>
      </c>
    </row>
    <row r="36" spans="1:11" ht="15" x14ac:dyDescent="0.2">
      <c r="A36" s="98" t="s">
        <v>143</v>
      </c>
      <c r="B36" s="106" t="s">
        <v>148</v>
      </c>
      <c r="C36" s="114" t="s">
        <v>1</v>
      </c>
      <c r="D36" s="114" t="s">
        <v>1</v>
      </c>
      <c r="E36" s="116">
        <f>C_EGTHD_MARG S_maxi_continu1</f>
        <v>0</v>
      </c>
      <c r="F36" s="116">
        <f>C_EGTHD_MARG S_take_off1</f>
        <v>0</v>
      </c>
      <c r="G36" s="117"/>
      <c r="H36" s="117"/>
      <c r="I36" s="114"/>
      <c r="J36" s="114" t="s">
        <v>1</v>
      </c>
    </row>
    <row r="37" spans="1:11" ht="15" x14ac:dyDescent="0.2">
      <c r="A37" s="98" t="s">
        <v>27</v>
      </c>
      <c r="B37" s="106" t="s">
        <v>26</v>
      </c>
      <c r="C37" s="132">
        <f>C_MOPK S_mini_idle</f>
        <v>0</v>
      </c>
      <c r="D37" s="132">
        <f>C_MOPK S_approach_idle</f>
        <v>0</v>
      </c>
      <c r="E37" s="132">
        <f>C_MOPK S_maxi_continu1</f>
        <v>0</v>
      </c>
      <c r="F37" s="132">
        <f>C_MOPK S_take_off1</f>
        <v>0</v>
      </c>
      <c r="G37" s="132"/>
      <c r="H37" s="132"/>
      <c r="I37" s="132"/>
      <c r="J37" s="133">
        <f>C_MOPK S_Shut_D_oil_fuel</f>
        <v>0</v>
      </c>
    </row>
    <row r="38" spans="1:11" ht="15" x14ac:dyDescent="0.2">
      <c r="A38" s="98"/>
      <c r="B38" s="106"/>
      <c r="C38" s="38"/>
      <c r="D38" s="38"/>
      <c r="E38" s="38"/>
      <c r="F38" s="38"/>
      <c r="G38" s="38"/>
      <c r="H38" s="38"/>
      <c r="I38" s="38"/>
      <c r="J38" s="38"/>
    </row>
    <row r="39" spans="1:11" ht="15" x14ac:dyDescent="0.2">
      <c r="B39" s="18"/>
      <c r="I39" s="22" t="s">
        <v>168</v>
      </c>
      <c r="J39" s="22" t="s">
        <v>169</v>
      </c>
    </row>
    <row r="40" spans="1:11" ht="15" x14ac:dyDescent="0.2">
      <c r="A40" t="s">
        <v>210</v>
      </c>
      <c r="B40" s="122"/>
      <c r="D40" t="s">
        <v>211</v>
      </c>
      <c r="E40" s="120">
        <f>C_tAcc1 S_Accel</f>
        <v>0</v>
      </c>
      <c r="F40" t="s">
        <v>188</v>
      </c>
      <c r="H40" s="37" t="s">
        <v>308</v>
      </c>
      <c r="I40" s="121">
        <f>C_Vib1N1Pk S_pic_de_vib</f>
        <v>0</v>
      </c>
      <c r="J40" s="121">
        <f>C_Vib1N1PkD S_pic_de_vib</f>
        <v>0</v>
      </c>
      <c r="K40" s="37" t="s">
        <v>69</v>
      </c>
    </row>
    <row r="41" spans="1:11" ht="15" x14ac:dyDescent="0.2">
      <c r="B41" s="123"/>
      <c r="E41" s="10"/>
      <c r="H41" s="37" t="s">
        <v>309</v>
      </c>
      <c r="I41" s="121">
        <f>C_Vib1N2Pk S_pic_de_vib</f>
        <v>0</v>
      </c>
      <c r="J41" s="121">
        <f>C_Vib1N2PkD S_pic_de_vib</f>
        <v>0</v>
      </c>
      <c r="K41" s="37" t="s">
        <v>312</v>
      </c>
    </row>
    <row r="42" spans="1:11" ht="15" x14ac:dyDescent="0.2">
      <c r="B42" s="123"/>
      <c r="E42" s="10"/>
      <c r="H42" s="37" t="s">
        <v>310</v>
      </c>
      <c r="I42" s="121">
        <f>C_Vib2N1Pk S_pic_de_vib</f>
        <v>0</v>
      </c>
      <c r="J42" s="121">
        <f>C_Vib2N1PkD S_pic_de_vib</f>
        <v>0</v>
      </c>
      <c r="K42" s="37" t="s">
        <v>69</v>
      </c>
    </row>
    <row r="43" spans="1:11" ht="15" x14ac:dyDescent="0.2">
      <c r="A43" t="s">
        <v>209</v>
      </c>
      <c r="B43" s="122"/>
      <c r="C43" t="s">
        <v>189</v>
      </c>
      <c r="D43" t="s">
        <v>144</v>
      </c>
      <c r="E43" s="39">
        <f>C_tRunning S_Shut_D_oil_fuel</f>
        <v>0</v>
      </c>
      <c r="F43" s="37" t="s">
        <v>218</v>
      </c>
      <c r="H43" s="37" t="s">
        <v>311</v>
      </c>
      <c r="I43" s="121">
        <f>C_Vib2N2Pk S_pic_de_vib</f>
        <v>0</v>
      </c>
      <c r="J43" s="121">
        <f>C_Vib2N2PkD S_pic_de_vib</f>
        <v>0</v>
      </c>
      <c r="K43" s="37" t="s">
        <v>312</v>
      </c>
    </row>
    <row r="44" spans="1:11" ht="15" x14ac:dyDescent="0.2">
      <c r="B44" s="123"/>
      <c r="E44" s="10"/>
    </row>
    <row r="45" spans="1:11" ht="15" x14ac:dyDescent="0.2">
      <c r="B45" s="123"/>
    </row>
    <row r="46" spans="1:11" ht="15" x14ac:dyDescent="0.2">
      <c r="A46" t="s">
        <v>212</v>
      </c>
      <c r="B46" s="122"/>
      <c r="E46" s="39"/>
      <c r="I46" s="17"/>
    </row>
    <row r="47" spans="1:11" ht="15" x14ac:dyDescent="0.2">
      <c r="B47" s="124"/>
      <c r="E47" s="39"/>
      <c r="I47" s="17"/>
    </row>
    <row r="48" spans="1:11" ht="15" x14ac:dyDescent="0.2">
      <c r="B48" s="60"/>
      <c r="C48" s="10"/>
      <c r="D48" s="37"/>
      <c r="E48" s="60"/>
    </row>
    <row r="49" spans="1:11" ht="15" x14ac:dyDescent="0.2">
      <c r="A49" s="20" t="s">
        <v>216</v>
      </c>
      <c r="B49" s="95"/>
      <c r="C49" s="95"/>
      <c r="D49" s="20" t="s">
        <v>208</v>
      </c>
      <c r="E49" s="95"/>
      <c r="F49" s="96"/>
      <c r="G49" s="37"/>
      <c r="H49" s="97" t="s">
        <v>307</v>
      </c>
      <c r="I49" s="95"/>
      <c r="J49" s="95"/>
    </row>
    <row r="50" spans="1:11" s="104" customFormat="1" ht="15.75" x14ac:dyDescent="0.25">
      <c r="A50" s="129" t="s">
        <v>135</v>
      </c>
      <c r="B50" s="130" t="s">
        <v>136</v>
      </c>
      <c r="C50" s="131" t="s">
        <v>137</v>
      </c>
      <c r="D50" s="131" t="s">
        <v>138</v>
      </c>
      <c r="E50" s="131" t="s">
        <v>204</v>
      </c>
      <c r="F50" s="131" t="s">
        <v>205</v>
      </c>
      <c r="G50" s="131"/>
      <c r="H50" s="131"/>
      <c r="I50" s="131"/>
      <c r="J50" s="131" t="s">
        <v>139</v>
      </c>
    </row>
    <row r="51" spans="1:11" s="104" customFormat="1" ht="15.75" x14ac:dyDescent="0.25">
      <c r="A51" s="129"/>
      <c r="B51" s="130"/>
      <c r="C51" s="131"/>
      <c r="D51" s="131"/>
      <c r="E51" s="131"/>
      <c r="F51" s="131"/>
      <c r="G51" s="131"/>
      <c r="H51" s="131"/>
      <c r="I51" s="131"/>
      <c r="J51" s="131"/>
    </row>
    <row r="52" spans="1:11" ht="14.25" x14ac:dyDescent="0.2">
      <c r="A52" s="104" t="s">
        <v>132</v>
      </c>
      <c r="B52" s="128"/>
      <c r="C52" s="107" t="str">
        <f t="shared" ref="C52:J52" si="0">H_TEST_NAME</f>
        <v>19-8053</v>
      </c>
      <c r="D52" s="107" t="str">
        <f t="shared" si="0"/>
        <v>19-8053</v>
      </c>
      <c r="E52" s="107" t="str">
        <f t="shared" si="0"/>
        <v>19-8053</v>
      </c>
      <c r="F52" s="107" t="str">
        <f t="shared" si="0"/>
        <v>19-8053</v>
      </c>
      <c r="G52" s="107"/>
      <c r="H52" s="107"/>
      <c r="I52" s="107"/>
      <c r="J52" s="107" t="str">
        <f t="shared" si="0"/>
        <v>19-8053</v>
      </c>
    </row>
    <row r="53" spans="1:11" ht="14.25" x14ac:dyDescent="0.2">
      <c r="A53" s="104" t="s">
        <v>127</v>
      </c>
      <c r="B53" s="128"/>
      <c r="C53" s="104">
        <f t="shared" ref="C53:J53" si="1">H_ENGINE_SERIAL_NO</f>
        <v>575499</v>
      </c>
      <c r="D53" s="104">
        <f t="shared" si="1"/>
        <v>575499</v>
      </c>
      <c r="E53" s="104">
        <f t="shared" si="1"/>
        <v>575499</v>
      </c>
      <c r="F53" s="104">
        <f t="shared" si="1"/>
        <v>575499</v>
      </c>
      <c r="G53" s="104"/>
      <c r="H53" s="104"/>
      <c r="I53" s="104"/>
      <c r="J53" s="104">
        <f t="shared" si="1"/>
        <v>575499</v>
      </c>
    </row>
    <row r="54" spans="1:11" ht="14.25" x14ac:dyDescent="0.2">
      <c r="A54" s="104" t="s">
        <v>131</v>
      </c>
      <c r="B54" s="128" t="s">
        <v>150</v>
      </c>
      <c r="C54" s="107">
        <f xml:space="preserve"> VLOOKUP(C_Engine_Rating S_mini_idle,enum_list!$A$2:$F$102,3,1)</f>
        <v>0</v>
      </c>
      <c r="D54" s="107">
        <f xml:space="preserve"> VLOOKUP(C_Engine_Rating S_approach_idle,enum_list!$A$2:$F$102,3,1)</f>
        <v>0</v>
      </c>
      <c r="E54" s="107">
        <f xml:space="preserve"> VLOOKUP(C_Engine_Rating S_maxi_continu1,enum_list!$A$2:$F$102,3,1)</f>
        <v>0</v>
      </c>
      <c r="F54" s="107">
        <f xml:space="preserve"> VLOOKUP(C_Engine_Rating S_take_off1,enum_list!$A$2:$F$102,3,1)</f>
        <v>0</v>
      </c>
      <c r="G54" s="107"/>
      <c r="H54" s="107"/>
      <c r="I54" s="107"/>
      <c r="J54" s="107">
        <f xml:space="preserve"> VLOOKUP(C_Engine_Rating  S_Shut_D_oil_fuel,enum_list!$A$2:F102,3,1)</f>
        <v>0</v>
      </c>
    </row>
    <row r="55" spans="1:11" ht="15" x14ac:dyDescent="0.2">
      <c r="A55" s="37"/>
      <c r="B55" s="11"/>
      <c r="C55" s="97"/>
      <c r="D55" s="97"/>
      <c r="E55" s="97"/>
      <c r="F55" s="97"/>
      <c r="G55" s="97"/>
      <c r="H55" s="97"/>
      <c r="I55" s="97"/>
      <c r="J55" s="97"/>
    </row>
    <row r="56" spans="1:11" ht="14.25" x14ac:dyDescent="0.2">
      <c r="A56" s="98" t="s">
        <v>146</v>
      </c>
      <c r="B56" s="106" t="s">
        <v>3</v>
      </c>
      <c r="C56" s="125">
        <f>C_RHUM S_mini_idle</f>
        <v>0</v>
      </c>
      <c r="D56" s="125">
        <f>C_RHUM S_approach_idle</f>
        <v>0</v>
      </c>
      <c r="E56" s="125">
        <f>C_RHUM S_maxi_continu1</f>
        <v>0</v>
      </c>
      <c r="F56" s="125">
        <f>C_RHUM S_take_off1</f>
        <v>0</v>
      </c>
      <c r="G56" s="125"/>
      <c r="H56" s="125"/>
      <c r="I56" s="125"/>
      <c r="J56" s="125">
        <f>C_RHUM S_Shut_D_oil_fuel</f>
        <v>0</v>
      </c>
      <c r="K56" s="97"/>
    </row>
    <row r="57" spans="1:11" ht="14.25" x14ac:dyDescent="0.2">
      <c r="A57" s="98" t="s">
        <v>162</v>
      </c>
      <c r="B57" s="106"/>
      <c r="C57" s="125">
        <f>C_RHRear S_mini_idle</f>
        <v>0</v>
      </c>
      <c r="D57" s="125">
        <f>C_RHRear S_approach_idle</f>
        <v>0</v>
      </c>
      <c r="E57" s="125">
        <f>C_RHRear S_maxi_continu1</f>
        <v>0</v>
      </c>
      <c r="F57" s="125">
        <f>C_RHRear S_take_off1</f>
        <v>0</v>
      </c>
      <c r="G57" s="125"/>
      <c r="H57" s="125"/>
      <c r="I57" s="125"/>
      <c r="J57" s="125">
        <f>C_RHRear S_Shut_D_oil_fuel</f>
        <v>0</v>
      </c>
      <c r="K57" s="97"/>
    </row>
    <row r="58" spans="1:11" ht="14.25" x14ac:dyDescent="0.2">
      <c r="A58" s="98" t="s">
        <v>145</v>
      </c>
      <c r="B58" s="106" t="s">
        <v>151</v>
      </c>
      <c r="C58" s="125" t="e">
        <f>_xlfn.SINGLE(C_HUM S_mini_idle)</f>
        <v>#REF!</v>
      </c>
      <c r="D58" s="125" t="e">
        <f>_xlfn.SINGLE(C_HUM S_approach_idle)</f>
        <v>#REF!</v>
      </c>
      <c r="E58" s="125" t="e">
        <f>_xlfn.SINGLE(C_HUM S_maxi_continu1)</f>
        <v>#REF!</v>
      </c>
      <c r="F58" s="125" t="e">
        <f>_xlfn.SINGLE(C_HUM S_take_off1)</f>
        <v>#REF!</v>
      </c>
      <c r="G58" s="125"/>
      <c r="H58" s="125"/>
      <c r="I58" s="125"/>
      <c r="J58" s="125" t="e">
        <f>_xlfn.SINGLE(C_HUM S_Shut_D_oil_fuel)</f>
        <v>#REF!</v>
      </c>
      <c r="K58" s="97"/>
    </row>
    <row r="59" spans="1:11" ht="14.25" x14ac:dyDescent="0.2">
      <c r="A59" s="98" t="s">
        <v>223</v>
      </c>
      <c r="B59" s="106" t="s">
        <v>224</v>
      </c>
      <c r="C59" s="125">
        <f>C_SGFuel_ S_mini_idle</f>
        <v>0</v>
      </c>
      <c r="D59" s="125">
        <f>C_SGFuel_ S_approach_idle</f>
        <v>0</v>
      </c>
      <c r="E59" s="125">
        <f>C_SGFuel_ S_maxi_continu1</f>
        <v>0</v>
      </c>
      <c r="F59" s="125">
        <f>C_SGFuel_ S_take_off1</f>
        <v>0</v>
      </c>
      <c r="G59" s="125"/>
      <c r="H59" s="125"/>
      <c r="I59" s="125"/>
      <c r="J59" s="125">
        <f>C_SGFuel_ S_Shut_D_oil_fuel</f>
        <v>0</v>
      </c>
      <c r="K59" s="97"/>
    </row>
    <row r="60" spans="1:11" ht="14.25" x14ac:dyDescent="0.2">
      <c r="A60" s="98" t="s">
        <v>29</v>
      </c>
      <c r="B60" s="106" t="s">
        <v>30</v>
      </c>
      <c r="C60" s="99">
        <f>C_N1 S_mini_idle</f>
        <v>0</v>
      </c>
      <c r="D60" s="99">
        <f>C_N1 S_approach_idle</f>
        <v>0</v>
      </c>
      <c r="E60" s="99">
        <f>C_N1 S_maxi_continu1</f>
        <v>0</v>
      </c>
      <c r="F60" s="99">
        <f>C_N1 S_take_off1</f>
        <v>0</v>
      </c>
      <c r="G60" s="99"/>
      <c r="H60" s="99"/>
      <c r="I60" s="99"/>
      <c r="J60" s="99">
        <f>C_N1 S_Shut_D_oil_fuel</f>
        <v>0</v>
      </c>
      <c r="K60" s="97"/>
    </row>
    <row r="61" spans="1:11" ht="14.25" x14ac:dyDescent="0.2">
      <c r="A61" s="98" t="s">
        <v>33</v>
      </c>
      <c r="B61" s="106" t="s">
        <v>30</v>
      </c>
      <c r="C61" s="99">
        <f>C_N2 S_mini_idle</f>
        <v>0</v>
      </c>
      <c r="D61" s="99">
        <f>C_N2 S_approach_idle</f>
        <v>0</v>
      </c>
      <c r="E61" s="99">
        <f>C_N2 S_maxi_continu1</f>
        <v>0</v>
      </c>
      <c r="F61" s="99">
        <f>C_N2 S_take_off1</f>
        <v>0</v>
      </c>
      <c r="G61" s="99"/>
      <c r="H61" s="99"/>
      <c r="I61" s="99"/>
      <c r="J61" s="99">
        <f>C_N2 S_Shut_D_oil_fuel</f>
        <v>0</v>
      </c>
      <c r="K61" s="97"/>
    </row>
    <row r="62" spans="1:11" ht="14.25" x14ac:dyDescent="0.2">
      <c r="A62" s="98" t="s">
        <v>152</v>
      </c>
      <c r="B62" s="106" t="s">
        <v>14</v>
      </c>
      <c r="C62" s="99">
        <f>C_FNnet S_mini_idle</f>
        <v>0</v>
      </c>
      <c r="D62" s="99">
        <f>C_FNnet S_approach_idle</f>
        <v>0</v>
      </c>
      <c r="E62" s="99">
        <f>C_FNnet S_maxi_continu1</f>
        <v>0</v>
      </c>
      <c r="F62" s="99">
        <f>C_FNnet S_take_off1</f>
        <v>0</v>
      </c>
      <c r="G62" s="99"/>
      <c r="H62" s="99"/>
      <c r="I62" s="99"/>
      <c r="J62" s="99">
        <f>C_FNnet S_Shut_D_oil_fuel</f>
        <v>0</v>
      </c>
      <c r="K62" s="97"/>
    </row>
    <row r="63" spans="1:11" ht="14.25" x14ac:dyDescent="0.2">
      <c r="A63" s="98" t="s">
        <v>13</v>
      </c>
      <c r="B63" s="106" t="s">
        <v>14</v>
      </c>
      <c r="C63" s="99">
        <f>C_FnCorrTC1Avg S_mini_idle</f>
        <v>0</v>
      </c>
      <c r="D63" s="99">
        <f>C_FnCorrTC1Avg S_approach_idle</f>
        <v>0</v>
      </c>
      <c r="E63" s="99">
        <f>C_FnCorrTC1Avg S_maxi_continu1</f>
        <v>0</v>
      </c>
      <c r="F63" s="99">
        <f>C_FnCorrTC1Avg S_take_off1</f>
        <v>0</v>
      </c>
      <c r="G63" s="99"/>
      <c r="H63" s="99"/>
      <c r="I63" s="99"/>
      <c r="J63" s="99">
        <f>C_FnCorrTC1Avg S_Shut_D_oil_fuel</f>
        <v>0</v>
      </c>
      <c r="K63" s="97"/>
    </row>
    <row r="64" spans="1:11" ht="14.25" x14ac:dyDescent="0.2">
      <c r="A64" s="98" t="s">
        <v>15</v>
      </c>
      <c r="B64" s="106" t="s">
        <v>14</v>
      </c>
      <c r="C64" s="99">
        <f>C_FnCorrTC2Avg S_mini_idle</f>
        <v>0</v>
      </c>
      <c r="D64" s="99">
        <f>C_FnCorrTC2Avg S_approach_idle</f>
        <v>0</v>
      </c>
      <c r="E64" s="99">
        <f>C_FnCorrTC2Avg S_maxi_continu1</f>
        <v>0</v>
      </c>
      <c r="F64" s="99">
        <f>C_FnCorrTC2Avg S_take_off1</f>
        <v>0</v>
      </c>
      <c r="G64" s="99"/>
      <c r="H64" s="99"/>
      <c r="I64" s="99"/>
      <c r="J64" s="99">
        <f>C_FnCorrTC2Avg S_Shut_D_oil_fuel</f>
        <v>0</v>
      </c>
      <c r="K64" s="97"/>
    </row>
    <row r="65" spans="1:11" ht="14.25" x14ac:dyDescent="0.2">
      <c r="A65" s="98" t="s">
        <v>75</v>
      </c>
      <c r="B65" s="106" t="s">
        <v>76</v>
      </c>
      <c r="C65" s="99">
        <f>C_WF1 S_mini_idle</f>
        <v>0</v>
      </c>
      <c r="D65" s="99">
        <f>C_WF1 S_approach_idle</f>
        <v>0</v>
      </c>
      <c r="E65" s="99">
        <f>C_WF1 S_maxi_continu1</f>
        <v>0</v>
      </c>
      <c r="F65" s="99">
        <f>C_WF1 S_take_off1</f>
        <v>0</v>
      </c>
      <c r="G65" s="99"/>
      <c r="H65" s="99"/>
      <c r="I65" s="99"/>
      <c r="J65" s="99">
        <f>C_WF1 S_Shut_D_oil_fuel</f>
        <v>0</v>
      </c>
      <c r="K65" s="97"/>
    </row>
    <row r="66" spans="1:11" ht="14.25" x14ac:dyDescent="0.2">
      <c r="A66" s="98" t="s">
        <v>153</v>
      </c>
      <c r="B66" s="106" t="s">
        <v>65</v>
      </c>
      <c r="C66" s="125">
        <f>C_VSV_SEL_A S_mini_idle</f>
        <v>0</v>
      </c>
      <c r="D66" s="125">
        <f>C_VSV_SEL_A S_approach_idle</f>
        <v>0</v>
      </c>
      <c r="E66" s="125">
        <f>C_VSV_SEL_A S_maxi_continu1</f>
        <v>0</v>
      </c>
      <c r="F66" s="125">
        <f>C_VSV_SEL_A S_take_off1</f>
        <v>0</v>
      </c>
      <c r="G66" s="125"/>
      <c r="H66" s="125"/>
      <c r="I66" s="125"/>
      <c r="J66" s="125">
        <f>C_VSV_SEL_A S_Shut_D_oil_fuel</f>
        <v>0</v>
      </c>
      <c r="K66" s="97"/>
    </row>
    <row r="67" spans="1:11" ht="14.25" x14ac:dyDescent="0.2">
      <c r="A67" s="98" t="s">
        <v>154</v>
      </c>
      <c r="B67" s="106" t="s">
        <v>65</v>
      </c>
      <c r="C67" s="125">
        <f>C_VBV_SEL_A S_mini_idle</f>
        <v>0</v>
      </c>
      <c r="D67" s="125">
        <f>C_VBV_SEL_A S_approach_idle</f>
        <v>0</v>
      </c>
      <c r="E67" s="125">
        <f>C_VBV_SEL_A S_maxi_continu1</f>
        <v>0</v>
      </c>
      <c r="F67" s="125">
        <f>C_VBV_SEL_A S_take_off1</f>
        <v>0</v>
      </c>
      <c r="G67" s="125"/>
      <c r="H67" s="125"/>
      <c r="I67" s="125"/>
      <c r="J67" s="125">
        <f>C_VBV_SEL_A S_Shut_D_oil_fuel</f>
        <v>0</v>
      </c>
      <c r="K67" s="97"/>
    </row>
    <row r="68" spans="1:11" ht="14.25" x14ac:dyDescent="0.2">
      <c r="A68" s="98" t="s">
        <v>68</v>
      </c>
      <c r="B68" s="106" t="s">
        <v>69</v>
      </c>
      <c r="C68" s="125">
        <f>C_VIBN1PAL S_mini_idle</f>
        <v>0</v>
      </c>
      <c r="D68" s="125">
        <f>C_VIBN1PAL S_approach_idle</f>
        <v>0</v>
      </c>
      <c r="E68" s="125">
        <f>C_VIBN1PAL S_maxi_continu1</f>
        <v>0</v>
      </c>
      <c r="F68" s="125">
        <f>C_VIBN1PAL S_take_off1</f>
        <v>0</v>
      </c>
      <c r="G68" s="125"/>
      <c r="H68" s="125"/>
      <c r="I68" s="125"/>
      <c r="J68" s="125">
        <f>C_VIBN1PAL S_Shut_D_oil_fuel</f>
        <v>0</v>
      </c>
      <c r="K68" s="97"/>
    </row>
    <row r="69" spans="1:11" ht="14.25" x14ac:dyDescent="0.2">
      <c r="A69" s="98" t="s">
        <v>70</v>
      </c>
      <c r="B69" s="106" t="s">
        <v>69</v>
      </c>
      <c r="C69" s="125">
        <f>C_VIBN1TRF S_mini_idle</f>
        <v>0</v>
      </c>
      <c r="D69" s="125">
        <f>C_VIBN1TRF S_approach_idle</f>
        <v>0</v>
      </c>
      <c r="E69" s="125">
        <f>C_VIBN1TRF S_maxi_continu1</f>
        <v>0</v>
      </c>
      <c r="F69" s="125">
        <f>C_VIBN1TRF S_take_off1</f>
        <v>0</v>
      </c>
      <c r="G69" s="125"/>
      <c r="H69" s="125"/>
      <c r="I69" s="125"/>
      <c r="J69" s="125">
        <f>C_VIBN1TRF S_Shut_D_oil_fuel</f>
        <v>0</v>
      </c>
      <c r="K69" s="97"/>
    </row>
    <row r="70" spans="1:11" ht="14.25" x14ac:dyDescent="0.2">
      <c r="A70" s="98" t="s">
        <v>71</v>
      </c>
      <c r="B70" s="106" t="s">
        <v>72</v>
      </c>
      <c r="C70" s="125">
        <f>C_VIBN2PAL S_mini_idle</f>
        <v>0</v>
      </c>
      <c r="D70" s="125">
        <f>C_VIBN2PAL S_approach_idle</f>
        <v>0</v>
      </c>
      <c r="E70" s="125">
        <f>C_VIBN2PAL S_maxi_continu1</f>
        <v>0</v>
      </c>
      <c r="F70" s="125">
        <f>C_VIBN2PAL S_take_off1</f>
        <v>0</v>
      </c>
      <c r="G70" s="125"/>
      <c r="H70" s="125"/>
      <c r="I70" s="125"/>
      <c r="J70" s="125">
        <f>C_VIBN2PAL S_Shut_D_oil_fuel</f>
        <v>0</v>
      </c>
      <c r="K70" s="97"/>
    </row>
    <row r="71" spans="1:11" ht="14.25" x14ac:dyDescent="0.2">
      <c r="A71" s="98" t="s">
        <v>73</v>
      </c>
      <c r="B71" s="106" t="s">
        <v>72</v>
      </c>
      <c r="C71" s="125">
        <f>C_VIBN2TRF S_mini_idle</f>
        <v>0</v>
      </c>
      <c r="D71" s="125">
        <f>C_VIBN2TRF S_approach_idle</f>
        <v>0</v>
      </c>
      <c r="E71" s="125">
        <f>C_VIBN2TRF S_maxi_continu1</f>
        <v>0</v>
      </c>
      <c r="F71" s="125">
        <f>C_VIBN2TRF S_take_off1</f>
        <v>0</v>
      </c>
      <c r="G71" s="125"/>
      <c r="H71" s="125"/>
      <c r="I71" s="125"/>
      <c r="J71" s="125">
        <f>C_VIBN2TRF S_Shut_D_oil_fuel</f>
        <v>0</v>
      </c>
      <c r="K71" s="97"/>
    </row>
    <row r="72" spans="1:11" ht="14.25" x14ac:dyDescent="0.2">
      <c r="A72" s="98" t="s">
        <v>155</v>
      </c>
      <c r="B72" s="106" t="s">
        <v>148</v>
      </c>
      <c r="C72" s="125">
        <f>C_TT2 S_mini_idle</f>
        <v>0</v>
      </c>
      <c r="D72" s="125">
        <f>C_TT2 S_approach_idle</f>
        <v>0</v>
      </c>
      <c r="E72" s="125">
        <f>C_TT2 S_maxi_continu1</f>
        <v>0</v>
      </c>
      <c r="F72" s="125">
        <f>C_TT2 S_take_off1</f>
        <v>0</v>
      </c>
      <c r="G72" s="125"/>
      <c r="H72" s="125"/>
      <c r="I72" s="125"/>
      <c r="J72" s="125">
        <f>C_TT2 S_Shut_D_oil_fuel</f>
        <v>0</v>
      </c>
      <c r="K72" s="97"/>
    </row>
    <row r="73" spans="1:11" ht="14.25" x14ac:dyDescent="0.2">
      <c r="A73" s="98" t="s">
        <v>156</v>
      </c>
      <c r="B73" s="106" t="s">
        <v>148</v>
      </c>
      <c r="C73" s="125">
        <f>C_T25_SEL_A S_mini_idle</f>
        <v>0</v>
      </c>
      <c r="D73" s="125">
        <f>C_T25_SEL_A S_approach_idle</f>
        <v>0</v>
      </c>
      <c r="E73" s="125">
        <f>C_T25_SEL_A S_maxi_continu1</f>
        <v>0</v>
      </c>
      <c r="F73" s="125">
        <f>C_T25_SEL_A S_take_off1</f>
        <v>0</v>
      </c>
      <c r="G73" s="125"/>
      <c r="H73" s="125"/>
      <c r="I73" s="125"/>
      <c r="J73" s="125">
        <f>C_T25_SEL_A S_Shut_D_oil_fuel</f>
        <v>0</v>
      </c>
      <c r="K73" s="97"/>
    </row>
    <row r="74" spans="1:11" ht="14.25" x14ac:dyDescent="0.2">
      <c r="A74" s="98" t="s">
        <v>157</v>
      </c>
      <c r="B74" s="106" t="s">
        <v>148</v>
      </c>
      <c r="C74" s="125">
        <f>C_T3_SEL_A S_mini_idle</f>
        <v>0</v>
      </c>
      <c r="D74" s="125">
        <f>C_T3_SEL_A S_approach_idle</f>
        <v>0</v>
      </c>
      <c r="E74" s="125">
        <f>C_T3_SEL_A S_maxi_continu1</f>
        <v>0</v>
      </c>
      <c r="F74" s="125">
        <f>C_T3_SEL_A S_take_off1</f>
        <v>0</v>
      </c>
      <c r="G74" s="125"/>
      <c r="H74" s="125"/>
      <c r="I74" s="125"/>
      <c r="J74" s="125">
        <f>C_T3_SEL_A S_Shut_D_oil_fuel</f>
        <v>0</v>
      </c>
      <c r="K74" s="97"/>
    </row>
    <row r="75" spans="1:11" ht="14.25" x14ac:dyDescent="0.2">
      <c r="A75" s="98" t="s">
        <v>158</v>
      </c>
      <c r="B75" s="106" t="s">
        <v>148</v>
      </c>
      <c r="C75" s="125">
        <f>C_T495_SEL_A S_mini_idle</f>
        <v>0</v>
      </c>
      <c r="D75" s="125">
        <f>C_T495_SEL_A S_approach_idle</f>
        <v>0</v>
      </c>
      <c r="E75" s="125">
        <f>C_T495_SEL_A S_maxi_continu1</f>
        <v>0</v>
      </c>
      <c r="F75" s="125">
        <f>C_T495_SEL_A S_take_off1</f>
        <v>0</v>
      </c>
      <c r="G75" s="125"/>
      <c r="H75" s="125"/>
      <c r="I75" s="125"/>
      <c r="J75" s="125">
        <f>C_T495_SEL_A S_Shut_D_oil_fuel</f>
        <v>0</v>
      </c>
      <c r="K75" s="97"/>
    </row>
    <row r="76" spans="1:11" ht="14.25" x14ac:dyDescent="0.2">
      <c r="A76" s="98" t="s">
        <v>122</v>
      </c>
      <c r="B76" s="106" t="s">
        <v>148</v>
      </c>
      <c r="C76" s="125" t="e">
        <f>_xlfn.SINGLE(IF(_xlfn.SINGLE(C_T54 S_mini_idle)&lt;_xlfn.SINGLE(C_T5_SEL_A S_mini_idle),"N/A",C_T54 S_mini_idle))</f>
        <v>#REF!</v>
      </c>
      <c r="D76" s="125" t="e">
        <f>_xlfn.SINGLE(IF(_xlfn.SINGLE(C_T54 S_approach_idle)&lt;_xlfn.SINGLE(C_T5_SEL_A S_approach_idle),"N/A",C_T54 S_approach_idle))</f>
        <v>#REF!</v>
      </c>
      <c r="E76" s="125" t="e">
        <f>_xlfn.SINGLE(IF(_xlfn.SINGLE(C_T54 S_maxi_continu1)&lt;_xlfn.SINGLE(C_T5_SEL_A S_maxi_continu1),"N/A",C_T54 S_maxi_continu1))</f>
        <v>#REF!</v>
      </c>
      <c r="F76" s="125" t="e">
        <f>_xlfn.SINGLE(IF(_xlfn.SINGLE(C_T54 S_take_off1)&lt;_xlfn.SINGLE(C_T5_SEL_A S_take_off1),"N/A",C_T54 S_take_off1))</f>
        <v>#REF!</v>
      </c>
      <c r="G76" s="125"/>
      <c r="H76" s="125"/>
      <c r="I76" s="125"/>
      <c r="J76" s="125" t="e">
        <f>_xlfn.SINGLE(IF(_xlfn.SINGLE(C_T54 S_Shut_D_oil_fuel)&lt;_xlfn.SINGLE(C_T5_SEL_A S_Shut_D_oil_fuel),"N/A",C_T54 S_Shut_D_oil_fuel))</f>
        <v>#REF!</v>
      </c>
      <c r="K76" s="97"/>
    </row>
    <row r="77" spans="1:11" ht="14.25" x14ac:dyDescent="0.2">
      <c r="A77" s="98" t="s">
        <v>174</v>
      </c>
      <c r="B77" s="106" t="s">
        <v>148</v>
      </c>
      <c r="C77" s="125" t="e">
        <f>_xlfn.SINGLE(IF(_xlfn.SINGLE(C_T54 S_mini_idle)&lt;_xlfn.SINGLE(C_T5_SEL_A S_mini_idle),C_T5_SEL_A S_mini_idle,"N/A"))</f>
        <v>#REF!</v>
      </c>
      <c r="D77" s="125" t="e">
        <f>_xlfn.SINGLE(IF(_xlfn.SINGLE(C_T54 S_approach_idle)&lt;_xlfn.SINGLE(C_T5_SEL_A S_approach_idle),C_T5_SEL_A S_approach_idle,"N/A"))</f>
        <v>#REF!</v>
      </c>
      <c r="E77" s="125" t="e">
        <f>_xlfn.SINGLE(IF(_xlfn.SINGLE(C_T54 S_maxi_continu1)&lt;_xlfn.SINGLE(C_T5_SEL_A S_maxi_continu1),C_T5_SEL_A S_maxi_continu1,"N/A"))</f>
        <v>#REF!</v>
      </c>
      <c r="F77" s="125" t="e">
        <f>_xlfn.SINGLE(IF(_xlfn.SINGLE(C_T54 S_take_off1)&lt;_xlfn.SINGLE(C_T5_SEL_A S_take_off1),C_T5_SEL_A S_take_off1,"N/A"))</f>
        <v>#REF!</v>
      </c>
      <c r="G77" s="125"/>
      <c r="H77" s="125"/>
      <c r="I77" s="125"/>
      <c r="J77" s="125" t="e">
        <f>_xlfn.SINGLE(IF(_xlfn.SINGLE(C_T54 S_Shut_D_oil_fuel)&lt;_xlfn.SINGLE(C_T5_SEL_A S_Shut_D_oil_fuel),C_T5_SEL_A S_Shut_D_oil_fuel,"N/A"))</f>
        <v>#REF!</v>
      </c>
      <c r="K77" s="97"/>
    </row>
    <row r="78" spans="1:11" ht="14.25" x14ac:dyDescent="0.2">
      <c r="A78" s="98" t="s">
        <v>28</v>
      </c>
      <c r="B78" s="106" t="s">
        <v>148</v>
      </c>
      <c r="C78" s="125">
        <f>C_MOT S_mini_idle</f>
        <v>0</v>
      </c>
      <c r="D78" s="125">
        <f>C_MOT S_approach_idle</f>
        <v>0</v>
      </c>
      <c r="E78" s="125">
        <f>C_MOT S_maxi_continu1</f>
        <v>0</v>
      </c>
      <c r="F78" s="125">
        <f>C_MOT S_take_off1</f>
        <v>0</v>
      </c>
      <c r="G78" s="125"/>
      <c r="H78" s="125"/>
      <c r="I78" s="125"/>
      <c r="J78" s="125">
        <f>C_MOT S_Shut_D_oil_fuel</f>
        <v>0</v>
      </c>
      <c r="K78" s="97"/>
    </row>
    <row r="79" spans="1:11" ht="14.25" x14ac:dyDescent="0.2">
      <c r="A79" s="98" t="s">
        <v>159</v>
      </c>
      <c r="B79" s="106" t="s">
        <v>148</v>
      </c>
      <c r="C79" s="125">
        <f>C_T_Soil S_mini_idle</f>
        <v>0</v>
      </c>
      <c r="D79" s="125">
        <f>C_T_Soil S_approach_idle</f>
        <v>0</v>
      </c>
      <c r="E79" s="125">
        <f>C_T_Soil S_maxi_continu1</f>
        <v>0</v>
      </c>
      <c r="F79" s="125">
        <f>C_T_Soil S_take_off1</f>
        <v>0</v>
      </c>
      <c r="G79" s="125"/>
      <c r="H79" s="125"/>
      <c r="I79" s="125"/>
      <c r="J79" s="125">
        <f>C_T_Soil S_Shut_D_oil_fuel</f>
        <v>0</v>
      </c>
      <c r="K79" s="97"/>
    </row>
    <row r="80" spans="1:11" ht="14.25" x14ac:dyDescent="0.2">
      <c r="A80" s="98" t="s">
        <v>225</v>
      </c>
      <c r="B80" s="106" t="s">
        <v>148</v>
      </c>
      <c r="C80" s="125">
        <f>C_T_Fuel_Fac S_mini_idle</f>
        <v>0</v>
      </c>
      <c r="D80" s="125">
        <f>C_T_Fuel_Fac S_approach_idle</f>
        <v>0</v>
      </c>
      <c r="E80" s="125">
        <f>C_T_Fuel_Fac S_maxi_continu1</f>
        <v>0</v>
      </c>
      <c r="F80" s="125">
        <f>C_T_Fuel_Fac S_take_off1</f>
        <v>0</v>
      </c>
      <c r="G80" s="125"/>
      <c r="H80" s="125"/>
      <c r="I80" s="125"/>
      <c r="J80" s="125">
        <f>C_T_Fuel_Fac S_Shut_D_oil_fuel</f>
        <v>0</v>
      </c>
      <c r="K80" s="97"/>
    </row>
    <row r="81" spans="1:248" ht="14.25" x14ac:dyDescent="0.2">
      <c r="A81" s="98" t="s">
        <v>160</v>
      </c>
      <c r="B81" s="106" t="s">
        <v>148</v>
      </c>
      <c r="C81" s="125">
        <f>C_T_FWD_ADAPT S_mini_idle</f>
        <v>0</v>
      </c>
      <c r="D81" s="125">
        <f>C_T_FWD_ADAPT S_approach_idle</f>
        <v>0</v>
      </c>
      <c r="E81" s="125">
        <f>C_T_FWD_ADAPT S_maxi_continu1</f>
        <v>0</v>
      </c>
      <c r="F81" s="125">
        <f>C_T_FWD_ADAPT S_take_off1</f>
        <v>0</v>
      </c>
      <c r="G81" s="125"/>
      <c r="H81" s="125"/>
      <c r="I81" s="125"/>
      <c r="J81" s="125">
        <f>C_T_FWD_ADAPT S_Shut_D_oil_fuel</f>
        <v>0</v>
      </c>
      <c r="K81" s="97"/>
    </row>
    <row r="82" spans="1:248" ht="14.25" x14ac:dyDescent="0.2">
      <c r="A82" s="98" t="s">
        <v>161</v>
      </c>
      <c r="B82" s="106" t="s">
        <v>148</v>
      </c>
      <c r="C82" s="125">
        <f>C_T_AFT_ADAPT S_mini_idle</f>
        <v>0</v>
      </c>
      <c r="D82" s="125">
        <f>C_T_AFT_ADAPT S_approach_idle</f>
        <v>0</v>
      </c>
      <c r="E82" s="125">
        <f>C_T_AFT_ADAPT S_maxi_continu1</f>
        <v>0</v>
      </c>
      <c r="F82" s="125">
        <f>C_T_AFT_ADAPT S_take_off1</f>
        <v>0</v>
      </c>
      <c r="G82" s="125"/>
      <c r="H82" s="125"/>
      <c r="I82" s="125"/>
      <c r="J82" s="125">
        <f>C_T_AFT_ADAPT S_Shut_D_oil_fuel</f>
        <v>0</v>
      </c>
      <c r="K82" s="97"/>
    </row>
    <row r="83" spans="1:248" ht="15" x14ac:dyDescent="0.2">
      <c r="A83" s="98" t="s">
        <v>46</v>
      </c>
      <c r="B83" s="106" t="s">
        <v>40</v>
      </c>
      <c r="C83" s="126">
        <f>C_PAMB1 S_mini_idle</f>
        <v>0</v>
      </c>
      <c r="D83" s="126">
        <f>C_PAMB1 S_approach_idle</f>
        <v>0</v>
      </c>
      <c r="E83" s="126">
        <f>C_PAMB1 S_maxi_continu1</f>
        <v>0</v>
      </c>
      <c r="F83" s="126">
        <f>C_PAMB1 S_take_off1</f>
        <v>0</v>
      </c>
      <c r="G83" s="126"/>
      <c r="H83" s="126"/>
      <c r="I83" s="126"/>
      <c r="J83" s="126">
        <f>C_PAMB1 S_Shut_D_oil_fuel</f>
        <v>0</v>
      </c>
      <c r="K83" s="105"/>
      <c r="L83" s="15"/>
      <c r="M83" s="16"/>
      <c r="N83" s="18"/>
      <c r="O83" s="15"/>
      <c r="P83" s="15"/>
      <c r="Q83" s="15"/>
      <c r="R83" s="15"/>
      <c r="S83" s="15"/>
      <c r="T83" s="15"/>
      <c r="U83" s="15"/>
      <c r="V83" s="15"/>
      <c r="W83" s="16"/>
      <c r="X83" s="18"/>
      <c r="Y83" s="15"/>
      <c r="Z83" s="15"/>
      <c r="AA83" s="15"/>
      <c r="AB83" s="15"/>
      <c r="AC83" s="15"/>
      <c r="AD83" s="15"/>
      <c r="AE83" s="15"/>
      <c r="AF83" s="15"/>
      <c r="AG83" s="16"/>
      <c r="AH83" s="18"/>
      <c r="AI83" s="15"/>
      <c r="AJ83" s="15"/>
      <c r="AK83" s="15"/>
      <c r="AL83" s="15"/>
      <c r="AM83" s="15"/>
      <c r="AN83" s="15"/>
      <c r="AO83" s="15"/>
      <c r="AP83" s="15"/>
      <c r="AQ83" s="16"/>
      <c r="AR83" s="18"/>
      <c r="AS83" s="15"/>
      <c r="AT83" s="15"/>
      <c r="AU83" s="15"/>
      <c r="AV83" s="15"/>
      <c r="AW83" s="15"/>
      <c r="AX83" s="15"/>
      <c r="AY83" s="15"/>
      <c r="AZ83" s="15"/>
      <c r="BA83" s="16"/>
      <c r="BB83" s="18"/>
      <c r="BC83" s="15"/>
      <c r="BD83" s="15"/>
      <c r="BE83" s="15"/>
      <c r="BF83" s="15"/>
      <c r="BG83" s="15"/>
      <c r="BH83" s="15"/>
      <c r="BI83" s="15"/>
      <c r="BJ83" s="15"/>
      <c r="BK83" s="16"/>
      <c r="BL83" s="18"/>
      <c r="BM83" s="15"/>
      <c r="BN83" s="15"/>
      <c r="BO83" s="15"/>
      <c r="BP83" s="15"/>
      <c r="BQ83" s="15"/>
      <c r="BR83" s="15"/>
      <c r="BS83" s="15"/>
      <c r="BT83" s="15"/>
      <c r="BU83" s="16"/>
      <c r="BV83" s="18"/>
      <c r="BW83" s="15"/>
      <c r="BX83" s="15"/>
      <c r="BY83" s="15"/>
      <c r="BZ83" s="15"/>
      <c r="CA83" s="15"/>
      <c r="CB83" s="15"/>
      <c r="CC83" s="15"/>
      <c r="CD83" s="15"/>
      <c r="CE83" s="16"/>
      <c r="CF83" s="18"/>
      <c r="CG83" s="15"/>
      <c r="CH83" s="15"/>
      <c r="CI83" s="15"/>
      <c r="CJ83" s="15"/>
      <c r="CK83" s="15"/>
      <c r="CL83" s="15"/>
      <c r="CM83" s="15"/>
      <c r="CN83" s="15"/>
      <c r="CO83" s="16"/>
      <c r="CP83" s="18"/>
      <c r="CQ83" s="15"/>
      <c r="CR83" s="15"/>
      <c r="CS83" s="15"/>
      <c r="CT83" s="15"/>
      <c r="CU83" s="15"/>
      <c r="CV83" s="15"/>
      <c r="CW83" s="15"/>
      <c r="CX83" s="15"/>
      <c r="CY83" s="16"/>
      <c r="CZ83" s="18"/>
      <c r="DA83" s="15"/>
      <c r="DB83" s="15"/>
      <c r="DC83" s="15"/>
      <c r="DD83" s="15"/>
      <c r="DE83" s="15"/>
      <c r="DF83" s="15"/>
      <c r="DG83" s="15"/>
      <c r="DH83" s="15"/>
      <c r="DI83" s="16"/>
      <c r="DJ83" s="18"/>
      <c r="DK83" s="15"/>
      <c r="DL83" s="15"/>
      <c r="DM83" s="15"/>
      <c r="DN83" s="15"/>
      <c r="DO83" s="15"/>
      <c r="DP83" s="15"/>
      <c r="DQ83" s="15"/>
      <c r="DR83" s="15"/>
      <c r="DS83" s="16"/>
      <c r="DT83" s="18"/>
      <c r="DU83" s="15"/>
      <c r="DV83" s="15"/>
      <c r="DW83" s="15"/>
      <c r="DX83" s="15"/>
      <c r="DY83" s="15"/>
      <c r="DZ83" s="15"/>
      <c r="EA83" s="15"/>
      <c r="EB83" s="15"/>
      <c r="EC83" s="16"/>
      <c r="ED83" s="18"/>
      <c r="EE83" s="15"/>
      <c r="EF83" s="15"/>
      <c r="EG83" s="15"/>
      <c r="EH83" s="15"/>
      <c r="EI83" s="15"/>
      <c r="EJ83" s="15"/>
      <c r="EK83" s="15"/>
      <c r="EL83" s="15"/>
      <c r="EM83" s="16"/>
      <c r="EN83" s="18"/>
      <c r="EO83" s="15"/>
      <c r="EP83" s="15"/>
      <c r="EQ83" s="15"/>
      <c r="ER83" s="15"/>
      <c r="ES83" s="15"/>
      <c r="ET83" s="15"/>
      <c r="EU83" s="15"/>
      <c r="EV83" s="15"/>
      <c r="EW83" s="16"/>
      <c r="EX83" s="18"/>
      <c r="EY83" s="15"/>
      <c r="EZ83" s="15"/>
      <c r="FA83" s="15"/>
      <c r="FB83" s="15"/>
      <c r="FC83" s="15"/>
      <c r="FD83" s="15"/>
      <c r="FE83" s="15"/>
      <c r="FF83" s="15"/>
      <c r="FG83" s="16"/>
      <c r="FH83" s="18"/>
      <c r="FI83" s="15"/>
      <c r="FJ83" s="15"/>
      <c r="FK83" s="15"/>
      <c r="FL83" s="15"/>
      <c r="FM83" s="15"/>
      <c r="FN83" s="15"/>
      <c r="FO83" s="15"/>
      <c r="FP83" s="15"/>
      <c r="FQ83" s="16"/>
      <c r="FR83" s="18"/>
      <c r="FS83" s="15"/>
      <c r="FT83" s="15"/>
      <c r="FU83" s="15"/>
      <c r="FV83" s="15"/>
      <c r="FW83" s="15"/>
      <c r="FX83" s="15"/>
      <c r="FY83" s="15"/>
      <c r="FZ83" s="15"/>
      <c r="GA83" s="16"/>
      <c r="GB83" s="18"/>
      <c r="GC83" s="15"/>
      <c r="GD83" s="15"/>
      <c r="GE83" s="15"/>
      <c r="GF83" s="15"/>
      <c r="GG83" s="15"/>
      <c r="GH83" s="15"/>
      <c r="GI83" s="15"/>
      <c r="GJ83" s="15"/>
      <c r="GK83" s="16"/>
      <c r="GL83" s="18"/>
      <c r="GM83" s="15"/>
      <c r="GN83" s="15"/>
      <c r="GO83" s="15"/>
      <c r="GP83" s="15"/>
      <c r="GQ83" s="15"/>
      <c r="GR83" s="15"/>
      <c r="GS83" s="15"/>
      <c r="GT83" s="15"/>
      <c r="GU83" s="16"/>
      <c r="GV83" s="18"/>
      <c r="GW83" s="15"/>
      <c r="GX83" s="15"/>
      <c r="GY83" s="15"/>
      <c r="GZ83" s="15"/>
      <c r="HA83" s="15"/>
      <c r="HB83" s="15"/>
      <c r="HC83" s="15"/>
      <c r="HD83" s="15"/>
      <c r="HE83" s="16"/>
      <c r="HF83" s="18"/>
      <c r="HG83" s="15"/>
      <c r="HH83" s="15"/>
      <c r="HI83" s="15"/>
      <c r="HJ83" s="15"/>
      <c r="HK83" s="15"/>
      <c r="HL83" s="15"/>
      <c r="HM83" s="15"/>
      <c r="HN83" s="15"/>
      <c r="HO83" s="16"/>
      <c r="HP83" s="18"/>
      <c r="HQ83" s="15"/>
      <c r="HR83" s="15"/>
      <c r="HS83" s="15"/>
      <c r="HT83" s="15"/>
      <c r="HU83" s="15"/>
      <c r="HV83" s="15"/>
      <c r="HW83" s="15"/>
      <c r="HX83" s="15"/>
      <c r="HY83" s="16"/>
      <c r="HZ83" s="18"/>
      <c r="IA83" s="15"/>
      <c r="IB83" s="15"/>
      <c r="IC83" s="15"/>
      <c r="ID83" s="15"/>
      <c r="IE83" s="15"/>
      <c r="IF83" s="15"/>
      <c r="IG83" s="15"/>
      <c r="IH83" s="15"/>
      <c r="II83" s="16"/>
      <c r="IJ83" s="18"/>
      <c r="IK83" s="15"/>
      <c r="IL83" s="15"/>
      <c r="IM83" s="15"/>
      <c r="IN83" s="15"/>
    </row>
    <row r="84" spans="1:248" ht="14.25" x14ac:dyDescent="0.2">
      <c r="A84" s="98" t="s">
        <v>47</v>
      </c>
      <c r="B84" s="106" t="s">
        <v>40</v>
      </c>
      <c r="C84" s="126">
        <f>C_PAMB2 S_mini_idle</f>
        <v>0</v>
      </c>
      <c r="D84" s="126">
        <f>C_PAMB2 S_approach_idle</f>
        <v>0</v>
      </c>
      <c r="E84" s="126">
        <f>C_PAMB2 S_maxi_continu1</f>
        <v>0</v>
      </c>
      <c r="F84" s="126">
        <f>C_PAMB2 S_take_off1</f>
        <v>0</v>
      </c>
      <c r="G84" s="126"/>
      <c r="H84" s="126"/>
      <c r="I84" s="126"/>
      <c r="J84" s="126">
        <f>C_PAMB2 S_Shut_D_oil_fuel</f>
        <v>0</v>
      </c>
      <c r="K84" s="97"/>
    </row>
    <row r="85" spans="1:248" ht="14.25" x14ac:dyDescent="0.2">
      <c r="A85" s="98" t="s">
        <v>39</v>
      </c>
      <c r="B85" s="106" t="s">
        <v>40</v>
      </c>
      <c r="C85" s="126">
        <f>C_P_Cell_Front S_mini_idle</f>
        <v>0</v>
      </c>
      <c r="D85" s="126">
        <f>C_P_Cell_Front S_approach_idle</f>
        <v>0</v>
      </c>
      <c r="E85" s="126">
        <f>C_P_Cell_Front S_maxi_continu1</f>
        <v>0</v>
      </c>
      <c r="F85" s="126">
        <f>C_P_Cell_Front S_take_off1</f>
        <v>0</v>
      </c>
      <c r="G85" s="126"/>
      <c r="H85" s="126"/>
      <c r="I85" s="126"/>
      <c r="J85" s="126">
        <f>C_P_Cell_Front S_Shut_D_oil_fuel</f>
        <v>0</v>
      </c>
      <c r="K85" s="97"/>
    </row>
    <row r="86" spans="1:248" ht="14.25" x14ac:dyDescent="0.2">
      <c r="A86" s="98" t="s">
        <v>41</v>
      </c>
      <c r="B86" s="106" t="s">
        <v>40</v>
      </c>
      <c r="C86" s="126">
        <f>C_P_Cell_Rear S_mini_idle</f>
        <v>0</v>
      </c>
      <c r="D86" s="126">
        <f>C_P_Cell_Rear S_approach_idle</f>
        <v>0</v>
      </c>
      <c r="E86" s="126">
        <f>C_P_Cell_Rear S_maxi_continu1</f>
        <v>0</v>
      </c>
      <c r="F86" s="126">
        <f>C_P_Cell_Rear S_take_off1</f>
        <v>0</v>
      </c>
      <c r="G86" s="126"/>
      <c r="H86" s="126"/>
      <c r="I86" s="126"/>
      <c r="J86" s="126">
        <f>C_P_Cell_Rear S_Shut_D_oil_fuel</f>
        <v>0</v>
      </c>
      <c r="K86" s="97"/>
    </row>
    <row r="87" spans="1:248" ht="14.25" x14ac:dyDescent="0.2">
      <c r="A87" s="98" t="s">
        <v>173</v>
      </c>
      <c r="B87" s="106" t="s">
        <v>40</v>
      </c>
      <c r="C87" s="126" t="s">
        <v>1</v>
      </c>
      <c r="D87" s="126" t="s">
        <v>1</v>
      </c>
      <c r="E87" s="126" t="e">
        <f>_xlfn.SINGLE(C_PT2_CAL S_maxi_continu1)</f>
        <v>#REF!</v>
      </c>
      <c r="F87" s="126" t="e">
        <f>_xlfn.SINGLE(C_PT2_CAL S_take_off1)</f>
        <v>#REF!</v>
      </c>
      <c r="G87" s="126"/>
      <c r="H87" s="126"/>
      <c r="I87" s="126"/>
      <c r="J87" s="126" t="s">
        <v>1</v>
      </c>
      <c r="K87" s="97"/>
    </row>
    <row r="88" spans="1:248" ht="14.25" x14ac:dyDescent="0.2">
      <c r="A88" s="98" t="s">
        <v>50</v>
      </c>
      <c r="B88" s="106" t="s">
        <v>40</v>
      </c>
      <c r="C88" s="126">
        <f>C_PS2W S_mini_idle</f>
        <v>0</v>
      </c>
      <c r="D88" s="126">
        <f>C_PS2W S_approach_idle</f>
        <v>0</v>
      </c>
      <c r="E88" s="126">
        <f>C_PS2W S_maxi_continu1</f>
        <v>0</v>
      </c>
      <c r="F88" s="126">
        <f>C_PS2W S_take_off1</f>
        <v>0</v>
      </c>
      <c r="G88" s="126"/>
      <c r="H88" s="126"/>
      <c r="I88" s="126"/>
      <c r="J88" s="126">
        <f>C_PS2W S_Shut_D_oil_fuel</f>
        <v>0</v>
      </c>
      <c r="K88" s="97"/>
    </row>
    <row r="89" spans="1:248" ht="14.25" x14ac:dyDescent="0.2">
      <c r="A89" s="98" t="s">
        <v>51</v>
      </c>
      <c r="B89" s="106" t="s">
        <v>40</v>
      </c>
      <c r="C89" s="126">
        <f>C_PS2W1 S_mini_idle</f>
        <v>0</v>
      </c>
      <c r="D89" s="126">
        <f>C_PS2W1 S_approach_idle</f>
        <v>0</v>
      </c>
      <c r="E89" s="126">
        <f>C_PS2W1 S_maxi_continu1</f>
        <v>0</v>
      </c>
      <c r="F89" s="126">
        <f>C_PS2W1 S_take_off1</f>
        <v>0</v>
      </c>
      <c r="G89" s="126"/>
      <c r="H89" s="126"/>
      <c r="I89" s="126"/>
      <c r="J89" s="126">
        <f>C_PS2W1 S_Shut_D_oil_fuel</f>
        <v>0</v>
      </c>
      <c r="K89" s="97"/>
    </row>
    <row r="90" spans="1:248" ht="14.25" x14ac:dyDescent="0.2">
      <c r="A90" s="98" t="s">
        <v>52</v>
      </c>
      <c r="B90" s="106" t="s">
        <v>40</v>
      </c>
      <c r="C90" s="126">
        <f>C_PS2W2 S_mini_idle</f>
        <v>0</v>
      </c>
      <c r="D90" s="126">
        <f>C_PS2W2 S_approach_idle</f>
        <v>0</v>
      </c>
      <c r="E90" s="126">
        <f>C_PS2W2 S_maxi_continu1</f>
        <v>0</v>
      </c>
      <c r="F90" s="126">
        <f>C_PS2W2 S_take_off1</f>
        <v>0</v>
      </c>
      <c r="G90" s="126"/>
      <c r="H90" s="126"/>
      <c r="I90" s="126"/>
      <c r="J90" s="126">
        <f>C_PS2W2 S_Shut_D_oil_fuel</f>
        <v>0</v>
      </c>
      <c r="K90" s="97"/>
    </row>
    <row r="91" spans="1:248" ht="14.25" x14ac:dyDescent="0.2">
      <c r="A91" s="98" t="s">
        <v>53</v>
      </c>
      <c r="B91" s="106" t="s">
        <v>40</v>
      </c>
      <c r="C91" s="126">
        <f>C_PS2W3 S_mini_idle</f>
        <v>0</v>
      </c>
      <c r="D91" s="126">
        <f>C_PS2W3 S_approach_idle</f>
        <v>0</v>
      </c>
      <c r="E91" s="126">
        <f>C_PS2W3 S_maxi_continu1</f>
        <v>0</v>
      </c>
      <c r="F91" s="126">
        <f>C_PS2W3 S_take_off1</f>
        <v>0</v>
      </c>
      <c r="G91" s="126"/>
      <c r="H91" s="126"/>
      <c r="I91" s="126"/>
      <c r="J91" s="126">
        <f>C_PS2W3 S_Shut_D_oil_fuel</f>
        <v>0</v>
      </c>
      <c r="K91" s="97"/>
    </row>
    <row r="92" spans="1:248" ht="14.25" x14ac:dyDescent="0.2">
      <c r="A92" s="98" t="s">
        <v>54</v>
      </c>
      <c r="B92" s="106" t="s">
        <v>40</v>
      </c>
      <c r="C92" s="126">
        <f>C_PS2W4 S_mini_idle</f>
        <v>0</v>
      </c>
      <c r="D92" s="126">
        <f>C_PS2W4 S_approach_idle</f>
        <v>0</v>
      </c>
      <c r="E92" s="126">
        <f>C_PS2W4 S_maxi_continu1</f>
        <v>0</v>
      </c>
      <c r="F92" s="126">
        <f>C_PS2W4 S_take_off1</f>
        <v>0</v>
      </c>
      <c r="G92" s="126"/>
      <c r="H92" s="126"/>
      <c r="I92" s="126"/>
      <c r="J92" s="126">
        <f>C_PS2W4 S_Shut_D_oil_fuel</f>
        <v>0</v>
      </c>
      <c r="K92" s="97"/>
    </row>
    <row r="93" spans="1:248" ht="14.25" x14ac:dyDescent="0.2">
      <c r="A93" s="98" t="s">
        <v>48</v>
      </c>
      <c r="B93" s="106" t="s">
        <v>40</v>
      </c>
      <c r="C93" s="126">
        <f>IF(C_PS13_ECU S_mini_idle&gt;C_PS13 S_mini_idle,"N/A",C_PS13 S_mini_idle)</f>
        <v>0</v>
      </c>
      <c r="D93" s="126">
        <f>IF(C_PS13_ECU S_approach_idle&gt;C_PS13 S_approach_idle,"N/A",C_PS13 S_approach_idle)</f>
        <v>0</v>
      </c>
      <c r="E93" s="126">
        <f>IF(C_PS13_ECU S_maxi_continu1&gt;C_PS13 S_maxi_continu1,"N/A",C_PS13 S_maxi_continu1)</f>
        <v>0</v>
      </c>
      <c r="F93" s="126">
        <f>IF(C_PS13_ECU S_take_off1&gt;C_PS13 S_take_off1,"N/A",C_PS13 S_take_off1)</f>
        <v>0</v>
      </c>
      <c r="G93" s="126"/>
      <c r="H93" s="126"/>
      <c r="I93" s="126"/>
      <c r="J93" s="126">
        <f>IF(C_PS13_ECU S_Shut_D_oil_fuel&gt;C_PS13 S_Shut_D_oil_fuel,"N/A",C_PS13 S_Shut_D_oil_fuel)</f>
        <v>0</v>
      </c>
      <c r="K93" s="97"/>
    </row>
    <row r="94" spans="1:248" ht="14.25" x14ac:dyDescent="0.2">
      <c r="A94" s="98" t="s">
        <v>49</v>
      </c>
      <c r="B94" s="106" t="s">
        <v>40</v>
      </c>
      <c r="C94" s="126" t="str">
        <f>IF(C_PS13_ECU S_mini_idle&gt;C_PS13 S_mini_idle,C_PS13_ECU S_mini_idle,"N/A")</f>
        <v>N/A</v>
      </c>
      <c r="D94" s="126" t="str">
        <f>IF(C_PS13_ECU S_approach_idle&gt;C_PS13 S_approach_idle,C_PS13_ECU S_approach_idle,"N/A")</f>
        <v>N/A</v>
      </c>
      <c r="E94" s="126" t="str">
        <f>IF(C_PS13_ECU S_maxi_continu1&gt;C_PS13 S_maxi_continu1,C_PS13_ECU S_maxi_continu1,"N/A")</f>
        <v>N/A</v>
      </c>
      <c r="F94" s="126" t="str">
        <f>IF(C_PS13_ECU S_take_off1&gt;C_PS13 S_take_off1,C_PS13_ECU S_take_off1,"N/A")</f>
        <v>N/A</v>
      </c>
      <c r="G94" s="126"/>
      <c r="H94" s="126"/>
      <c r="I94" s="126"/>
      <c r="J94" s="126" t="str">
        <f>IF(C_PS13_ECU S_Shut_D_oil_fuel&gt;C_PS13 S_Shut_D_oil_fuel,C_PS13_ECU S_Shut_D_oil_fuel,"N/A")</f>
        <v>N/A</v>
      </c>
      <c r="K94" s="97"/>
    </row>
    <row r="95" spans="1:248" ht="14.25" x14ac:dyDescent="0.2">
      <c r="A95" s="98" t="s">
        <v>222</v>
      </c>
      <c r="B95" s="106" t="s">
        <v>40</v>
      </c>
      <c r="C95" s="126" t="str">
        <f>IF(C_P25_ECU S_mini_idle&lt;15,"N/A",C_P25_ECU S_mini_idle)</f>
        <v>N/A</v>
      </c>
      <c r="D95" s="126" t="str">
        <f>IF(C_P25_ECU S_approach_idle&lt;15,"N/A",C_P25_ECU S_approach_idle)</f>
        <v>N/A</v>
      </c>
      <c r="E95" s="126" t="str">
        <f>IF(C_P25_ECU S_maxi_continu1&lt;15,"N/A",C_P25_ECU S_maxi_continu1)</f>
        <v>N/A</v>
      </c>
      <c r="F95" s="126" t="str">
        <f>IF(C_P25_ECU S_take_off1&lt;15,"N/A",C_P25_ECU S_take_off1)</f>
        <v>N/A</v>
      </c>
      <c r="G95" s="126"/>
      <c r="H95" s="126"/>
      <c r="I95" s="126"/>
      <c r="J95" s="126" t="str">
        <f>IF(C_P25_ECU S_Shut_D_oil_fuel&lt;15,"N/A",C_P25_ECU S_Shut_D_oil_fuel)</f>
        <v>N/A</v>
      </c>
      <c r="K95" s="97"/>
    </row>
    <row r="96" spans="1:248" ht="14.25" x14ac:dyDescent="0.2">
      <c r="A96" s="98" t="s">
        <v>56</v>
      </c>
      <c r="B96" s="106" t="s">
        <v>40</v>
      </c>
      <c r="C96" s="126">
        <f>C_PT17 S_mini_idle</f>
        <v>0</v>
      </c>
      <c r="D96" s="126">
        <f>C_PT17 S_approach_idle</f>
        <v>0</v>
      </c>
      <c r="E96" s="126">
        <f>C_PT17 S_maxi_continu1</f>
        <v>0</v>
      </c>
      <c r="F96" s="126">
        <f>C_PT17 S_take_off1</f>
        <v>0</v>
      </c>
      <c r="G96" s="126"/>
      <c r="H96" s="126"/>
      <c r="I96" s="126"/>
      <c r="J96" s="126">
        <f>C_PT17 S_Shut_D_oil_fuel</f>
        <v>0</v>
      </c>
      <c r="K96" s="97"/>
    </row>
    <row r="97" spans="1:11" ht="14.25" x14ac:dyDescent="0.2">
      <c r="A97" s="98" t="s">
        <v>57</v>
      </c>
      <c r="B97" s="106" t="s">
        <v>40</v>
      </c>
      <c r="C97" s="126">
        <f>C_PT17_1 S_mini_idle</f>
        <v>0</v>
      </c>
      <c r="D97" s="126">
        <f>C_PT17_1 S_approach_idle</f>
        <v>0</v>
      </c>
      <c r="E97" s="126">
        <f>C_PT17_1 S_maxi_continu1</f>
        <v>0</v>
      </c>
      <c r="F97" s="126">
        <f>C_PT17_1 S_take_off1</f>
        <v>0</v>
      </c>
      <c r="G97" s="126"/>
      <c r="H97" s="126"/>
      <c r="I97" s="126"/>
      <c r="J97" s="126">
        <f>C_PT17_1 S_Shut_D_oil_fuel</f>
        <v>0</v>
      </c>
      <c r="K97" s="97"/>
    </row>
    <row r="98" spans="1:11" ht="14.25" x14ac:dyDescent="0.2">
      <c r="A98" s="98" t="s">
        <v>58</v>
      </c>
      <c r="B98" s="106" t="s">
        <v>40</v>
      </c>
      <c r="C98" s="126">
        <f>C_PT17_2 S_mini_idle</f>
        <v>0</v>
      </c>
      <c r="D98" s="126">
        <f>C_PT17_2 S_approach_idle</f>
        <v>0</v>
      </c>
      <c r="E98" s="126">
        <f>C_PT17_2 S_maxi_continu1</f>
        <v>0</v>
      </c>
      <c r="F98" s="126">
        <f>C_PT17_2 S_take_off1</f>
        <v>0</v>
      </c>
      <c r="G98" s="126"/>
      <c r="H98" s="126"/>
      <c r="I98" s="126"/>
      <c r="J98" s="126">
        <f>C_PT17_2 S_Shut_D_oil_fuel</f>
        <v>0</v>
      </c>
      <c r="K98" s="97"/>
    </row>
    <row r="99" spans="1:11" ht="14.25" x14ac:dyDescent="0.2">
      <c r="A99" s="98" t="s">
        <v>59</v>
      </c>
      <c r="B99" s="106" t="s">
        <v>40</v>
      </c>
      <c r="C99" s="126" t="e">
        <f>_xlfn.SINGLE(C_PT25 S_mini_idle)</f>
        <v>#REF!</v>
      </c>
      <c r="D99" s="126" t="e">
        <f>_xlfn.SINGLE(C_PT25 S_approach_idle)</f>
        <v>#REF!</v>
      </c>
      <c r="E99" s="126" t="e">
        <f>_xlfn.SINGLE(C_PT25 S_maxi_continu1)</f>
        <v>#REF!</v>
      </c>
      <c r="F99" s="126" t="e">
        <f>_xlfn.SINGLE(C_PT25 S_take_off1)</f>
        <v>#REF!</v>
      </c>
      <c r="G99" s="126"/>
      <c r="H99" s="126"/>
      <c r="I99" s="126"/>
      <c r="J99" s="126" t="e">
        <f>_xlfn.SINGLE(C_PT25 S_Shut_D_oil_fuel)</f>
        <v>#REF!</v>
      </c>
      <c r="K99" s="97"/>
    </row>
    <row r="100" spans="1:11" ht="14.25" x14ac:dyDescent="0.2">
      <c r="A100" s="98" t="s">
        <v>55</v>
      </c>
      <c r="B100" s="106" t="s">
        <v>40</v>
      </c>
      <c r="C100" s="127">
        <f>C_PS3_SEL_A S_mini_idle</f>
        <v>0</v>
      </c>
      <c r="D100" s="127">
        <f>C_PS3_SEL_A S_approach_idle</f>
        <v>0</v>
      </c>
      <c r="E100" s="127">
        <f>C_PS3_SEL_A S_maxi_continu1</f>
        <v>0</v>
      </c>
      <c r="F100" s="127">
        <f>C_PS3_SEL_A S_take_off1</f>
        <v>0</v>
      </c>
      <c r="G100" s="127"/>
      <c r="H100" s="127"/>
      <c r="I100" s="126"/>
      <c r="J100" s="126">
        <f>C_PS3_SEL_A S_Shut_D_oil_fuel</f>
        <v>0</v>
      </c>
      <c r="K100" s="20"/>
    </row>
    <row r="101" spans="1:11" s="104" customFormat="1" ht="15.75" x14ac:dyDescent="0.25">
      <c r="A101" s="129" t="s">
        <v>135</v>
      </c>
      <c r="B101" s="130" t="s">
        <v>136</v>
      </c>
      <c r="C101" s="131" t="s">
        <v>137</v>
      </c>
      <c r="D101" s="131" t="s">
        <v>138</v>
      </c>
      <c r="E101" s="131" t="s">
        <v>204</v>
      </c>
      <c r="F101" s="131" t="s">
        <v>205</v>
      </c>
      <c r="G101" s="131"/>
      <c r="H101" s="131"/>
      <c r="I101" s="131"/>
      <c r="J101" s="131" t="s">
        <v>139</v>
      </c>
    </row>
    <row r="102" spans="1:11" s="104" customFormat="1" ht="15.75" x14ac:dyDescent="0.25">
      <c r="A102" s="129"/>
      <c r="B102" s="130"/>
      <c r="C102" s="131"/>
      <c r="D102" s="131"/>
      <c r="E102" s="131"/>
      <c r="F102" s="131"/>
      <c r="G102" s="131"/>
      <c r="H102" s="131"/>
      <c r="I102" s="131"/>
      <c r="J102" s="131"/>
    </row>
    <row r="103" spans="1:11" s="37" customFormat="1" ht="14.25" x14ac:dyDescent="0.2">
      <c r="A103" s="104" t="s">
        <v>132</v>
      </c>
      <c r="B103" s="128"/>
      <c r="C103" s="107" t="str">
        <f t="shared" ref="C103:J103" si="2">H_TEST_NAME</f>
        <v>19-8053</v>
      </c>
      <c r="D103" s="107" t="str">
        <f t="shared" si="2"/>
        <v>19-8053</v>
      </c>
      <c r="E103" s="107" t="str">
        <f t="shared" si="2"/>
        <v>19-8053</v>
      </c>
      <c r="F103" s="107" t="str">
        <f t="shared" si="2"/>
        <v>19-8053</v>
      </c>
      <c r="G103" s="107"/>
      <c r="H103" s="107"/>
      <c r="I103" s="107"/>
      <c r="J103" s="107" t="str">
        <f t="shared" si="2"/>
        <v>19-8053</v>
      </c>
    </row>
    <row r="104" spans="1:11" s="37" customFormat="1" ht="14.25" x14ac:dyDescent="0.2">
      <c r="A104" s="104" t="s">
        <v>127</v>
      </c>
      <c r="B104" s="128"/>
      <c r="C104" s="104">
        <f t="shared" ref="C104:J104" si="3">H_ENGINE_SERIAL_NO</f>
        <v>575499</v>
      </c>
      <c r="D104" s="104">
        <f t="shared" si="3"/>
        <v>575499</v>
      </c>
      <c r="E104" s="104">
        <f t="shared" si="3"/>
        <v>575499</v>
      </c>
      <c r="F104" s="104">
        <f t="shared" si="3"/>
        <v>575499</v>
      </c>
      <c r="G104" s="104"/>
      <c r="H104" s="104"/>
      <c r="I104" s="104"/>
      <c r="J104" s="104">
        <f t="shared" si="3"/>
        <v>575499</v>
      </c>
    </row>
    <row r="105" spans="1:11" s="37" customFormat="1" ht="14.25" x14ac:dyDescent="0.2">
      <c r="A105" s="104" t="s">
        <v>131</v>
      </c>
      <c r="B105" s="128" t="s">
        <v>150</v>
      </c>
      <c r="C105" s="107">
        <f xml:space="preserve"> VLOOKUP(C_Engine_Rating S_mini_idle,enum_list!$A$2:$F$102,3,1)</f>
        <v>0</v>
      </c>
      <c r="D105" s="107">
        <f xml:space="preserve"> VLOOKUP(C_Engine_Rating S_approach_idle,enum_list!$A$2:$F$102,3,1)</f>
        <v>0</v>
      </c>
      <c r="E105" s="107">
        <f xml:space="preserve"> VLOOKUP(C_Engine_Rating S_maxi_continu1,enum_list!$A$2:$F$102,3,1)</f>
        <v>0</v>
      </c>
      <c r="F105" s="107">
        <f xml:space="preserve"> VLOOKUP(C_Engine_Rating S_take_off1,enum_list!$A$2:$F$102,3,1)</f>
        <v>0</v>
      </c>
      <c r="G105" s="107"/>
      <c r="H105" s="107"/>
      <c r="I105" s="107"/>
      <c r="J105" s="107">
        <f xml:space="preserve"> VLOOKUP(C_Engine_Rating  S_Shut_D_oil_fuel,enum_list!$A$2:F151,3,1)</f>
        <v>0</v>
      </c>
    </row>
    <row r="106" spans="1:11" s="37" customFormat="1" ht="15" x14ac:dyDescent="0.2">
      <c r="B106" s="11"/>
      <c r="C106" s="97"/>
      <c r="D106" s="97"/>
      <c r="E106" s="97"/>
      <c r="F106" s="97"/>
      <c r="G106" s="97"/>
      <c r="H106" s="97"/>
      <c r="I106" s="97"/>
      <c r="J106" s="97"/>
    </row>
    <row r="107" spans="1:11" ht="14.25" x14ac:dyDescent="0.2">
      <c r="A107" s="98" t="s">
        <v>186</v>
      </c>
      <c r="B107" s="106" t="s">
        <v>43</v>
      </c>
      <c r="C107" s="126">
        <f>C_PS3R_SEL S_mini_idle</f>
        <v>0</v>
      </c>
      <c r="D107" s="126">
        <f>C_PS3R_SEL S_approach_idle</f>
        <v>0</v>
      </c>
      <c r="E107" s="126">
        <f>C_PS3R_SEL S_maxi_continu1</f>
        <v>0</v>
      </c>
      <c r="F107" s="126">
        <f>C_PS3R_SEL S_take_off1</f>
        <v>0</v>
      </c>
      <c r="G107" s="126"/>
      <c r="H107" s="126"/>
      <c r="I107" s="126"/>
      <c r="J107" s="126">
        <f>C_PS3R_SEL S_Shut_D_oil_fuel</f>
        <v>0</v>
      </c>
      <c r="K107" s="20"/>
    </row>
    <row r="108" spans="1:11" ht="14.25" x14ac:dyDescent="0.2">
      <c r="A108" s="98" t="s">
        <v>60</v>
      </c>
      <c r="B108" s="106" t="s">
        <v>40</v>
      </c>
      <c r="C108" s="127">
        <f>C_PT495 S_mini_idle</f>
        <v>0</v>
      </c>
      <c r="D108" s="127">
        <f>C_PT495 S_approach_idle</f>
        <v>0</v>
      </c>
      <c r="E108" s="127">
        <f>C_PT495 S_maxi_continu1</f>
        <v>0</v>
      </c>
      <c r="F108" s="127">
        <f>C_PT495 S_take_off1</f>
        <v>0</v>
      </c>
      <c r="G108" s="127"/>
      <c r="H108" s="127"/>
      <c r="I108" s="126"/>
      <c r="J108" s="126">
        <f>C_PT495 S_Shut_D_oil_fuel</f>
        <v>0</v>
      </c>
      <c r="K108" s="104"/>
    </row>
    <row r="109" spans="1:11" ht="14.25" x14ac:dyDescent="0.2">
      <c r="A109" s="98" t="s">
        <v>61</v>
      </c>
      <c r="B109" s="106" t="s">
        <v>40</v>
      </c>
      <c r="C109" s="127">
        <f>C_PT54 S_mini_idle</f>
        <v>0</v>
      </c>
      <c r="D109" s="127">
        <f>C_PT54 S_approach_idle</f>
        <v>0</v>
      </c>
      <c r="E109" s="127">
        <f>C_PT54 S_maxi_continu1</f>
        <v>0</v>
      </c>
      <c r="F109" s="127">
        <f>C_PT54 S_take_off1</f>
        <v>0</v>
      </c>
      <c r="G109" s="127"/>
      <c r="H109" s="127"/>
      <c r="I109" s="126"/>
      <c r="J109" s="126">
        <f>C_PT54 S_Shut_D_oil_fuel</f>
        <v>0</v>
      </c>
      <c r="K109" s="104"/>
    </row>
    <row r="110" spans="1:11" ht="14.25" x14ac:dyDescent="0.2">
      <c r="A110" s="98" t="s">
        <v>25</v>
      </c>
      <c r="B110" s="106" t="s">
        <v>40</v>
      </c>
      <c r="C110" s="127">
        <f>C_MOP S_mini_idle</f>
        <v>0</v>
      </c>
      <c r="D110" s="127">
        <f>C_MOP S_approach_idle</f>
        <v>0</v>
      </c>
      <c r="E110" s="127">
        <f>C_MOP S_maxi_continu1</f>
        <v>0</v>
      </c>
      <c r="F110" s="127">
        <f>C_MOP S_take_off1</f>
        <v>0</v>
      </c>
      <c r="G110" s="127"/>
      <c r="H110" s="127"/>
      <c r="I110" s="126"/>
      <c r="J110" s="126">
        <f>C_MOP S_Shut_D_oil_fuel</f>
        <v>0</v>
      </c>
      <c r="K110" s="104"/>
    </row>
    <row r="111" spans="1:11" ht="14.25" x14ac:dyDescent="0.2">
      <c r="A111" s="98" t="s">
        <v>44</v>
      </c>
      <c r="B111" s="106" t="s">
        <v>40</v>
      </c>
      <c r="C111" s="127">
        <f>C_P_Sop_Diff S_mini_idle</f>
        <v>0</v>
      </c>
      <c r="D111" s="127">
        <f>C_P_Sop_Diff S_approach_idle</f>
        <v>0</v>
      </c>
      <c r="E111" s="127">
        <f>C_P_Sop_Diff S_maxi_continu1</f>
        <v>0</v>
      </c>
      <c r="F111" s="127">
        <f>C_P_Sop_Diff S_take_off1</f>
        <v>0</v>
      </c>
      <c r="G111" s="127"/>
      <c r="H111" s="127"/>
      <c r="I111" s="126"/>
      <c r="J111" s="126">
        <f>C_P_Sop_Diff S_Shut_D_oil_fuel</f>
        <v>0</v>
      </c>
      <c r="K111" s="104"/>
    </row>
    <row r="112" spans="1:11" ht="14.25" x14ac:dyDescent="0.2">
      <c r="A112" s="98" t="s">
        <v>45</v>
      </c>
      <c r="B112" s="106" t="s">
        <v>40</v>
      </c>
      <c r="C112" s="127">
        <f>C_P_Sump S_mini_idle</f>
        <v>0</v>
      </c>
      <c r="D112" s="127">
        <f>C_P_Sump S_approach_idle</f>
        <v>0</v>
      </c>
      <c r="E112" s="127">
        <f>C_P_Sump S_maxi_continu1</f>
        <v>0</v>
      </c>
      <c r="F112" s="127">
        <f>C_P_Sump S_take_off1</f>
        <v>0</v>
      </c>
      <c r="G112" s="127"/>
      <c r="H112" s="127"/>
      <c r="I112" s="126"/>
      <c r="J112" s="126">
        <f>C_P_Sump S_Shut_D_oil_fuel</f>
        <v>0</v>
      </c>
      <c r="K112" s="104"/>
    </row>
    <row r="113" spans="1:11" ht="14.25" x14ac:dyDescent="0.2">
      <c r="A113" s="98" t="s">
        <v>42</v>
      </c>
      <c r="B113" s="106" t="s">
        <v>43</v>
      </c>
      <c r="C113" s="127">
        <f>C_P_Fuel S_mini_idle</f>
        <v>0</v>
      </c>
      <c r="D113" s="127">
        <f>C_P_Fuel S_approach_idle</f>
        <v>0</v>
      </c>
      <c r="E113" s="127">
        <f>C_P_Fuel S_maxi_continu1</f>
        <v>0</v>
      </c>
      <c r="F113" s="127">
        <f>C_P_Fuel S_take_off1</f>
        <v>0</v>
      </c>
      <c r="G113" s="127"/>
      <c r="H113" s="127"/>
      <c r="I113" s="126"/>
      <c r="J113" s="126">
        <f>C_P_Fuel S_Shut_D_oil_fuel</f>
        <v>0</v>
      </c>
      <c r="K113" s="104"/>
    </row>
    <row r="114" spans="1:11" ht="14.25" x14ac:dyDescent="0.2">
      <c r="A114" s="98" t="s">
        <v>171</v>
      </c>
      <c r="B114" s="106" t="s">
        <v>65</v>
      </c>
      <c r="C114" s="101">
        <f>C_TLA_SEL_A S_mini_idle</f>
        <v>0</v>
      </c>
      <c r="D114" s="101">
        <f>C_TLA_SEL_A S_approach_idle</f>
        <v>0</v>
      </c>
      <c r="E114" s="101">
        <f>C_TLA_SEL_A S_maxi_continu1</f>
        <v>0</v>
      </c>
      <c r="F114" s="101">
        <f>C_TLA_SEL_A S_take_off1</f>
        <v>0</v>
      </c>
      <c r="G114" s="101"/>
      <c r="H114" s="101"/>
      <c r="I114" s="125"/>
      <c r="J114" s="125">
        <f>C_TLA_SEL_A S_Shut_D_oil_fuel</f>
        <v>0</v>
      </c>
      <c r="K114" s="104"/>
    </row>
    <row r="115" spans="1:11" ht="14.25" x14ac:dyDescent="0.2">
      <c r="A115" s="98" t="s">
        <v>12</v>
      </c>
      <c r="B115" s="106" t="s">
        <v>3</v>
      </c>
      <c r="C115" s="101">
        <f>C_FMV_SEL_A S_mini_idle</f>
        <v>0</v>
      </c>
      <c r="D115" s="101">
        <f>C_FMV_SEL_A S_approach_idle</f>
        <v>0</v>
      </c>
      <c r="E115" s="101">
        <f>C_FMV_SEL_A S_maxi_continu1</f>
        <v>0</v>
      </c>
      <c r="F115" s="101">
        <f>C_FMV_SEL_A S_take_off1</f>
        <v>0</v>
      </c>
      <c r="G115" s="101"/>
      <c r="H115" s="101"/>
      <c r="I115" s="101"/>
      <c r="J115" s="101">
        <f>C_FMV_SEL_A S_Shut_D_oil_fuel</f>
        <v>0</v>
      </c>
      <c r="K115" s="104"/>
    </row>
    <row r="116" spans="1:11" ht="14.25" x14ac:dyDescent="0.2">
      <c r="A116" s="98" t="s">
        <v>20</v>
      </c>
      <c r="B116" s="106" t="s">
        <v>3</v>
      </c>
      <c r="C116" s="101" t="e">
        <f>_xlfn.SINGLE(C_HPTC_SEL_A S_mini_idle)</f>
        <v>#REF!</v>
      </c>
      <c r="D116" s="101" t="e">
        <f>_xlfn.SINGLE(C_HPTC_SEL_A S_approach_idle)</f>
        <v>#REF!</v>
      </c>
      <c r="E116" s="101" t="e">
        <f>_xlfn.SINGLE(C_HPTC_SEL_A S_maxi_continu1)</f>
        <v>#REF!</v>
      </c>
      <c r="F116" s="101" t="e">
        <f>_xlfn.SINGLE(C_HPTC_SEL_A S_take_off1)</f>
        <v>#REF!</v>
      </c>
      <c r="G116" s="101"/>
      <c r="H116" s="101"/>
      <c r="I116" s="101"/>
      <c r="J116" s="101" t="e">
        <f>_xlfn.SINGLE(C_HPTC_SEL_A S_Shut_D_oil_fuel)</f>
        <v>#REF!</v>
      </c>
      <c r="K116" s="104"/>
    </row>
    <row r="117" spans="1:11" ht="14.25" x14ac:dyDescent="0.2">
      <c r="A117" s="98" t="s">
        <v>24</v>
      </c>
      <c r="B117" s="106" t="s">
        <v>3</v>
      </c>
      <c r="C117" s="101">
        <f>C_LPTC_SEL_A S_mini_idle</f>
        <v>0</v>
      </c>
      <c r="D117" s="101">
        <f>C_LPTC_SEL_A S_approach_idle</f>
        <v>0</v>
      </c>
      <c r="E117" s="101">
        <f>C_LPTC_SEL_A S_maxi_continu1</f>
        <v>0</v>
      </c>
      <c r="F117" s="101">
        <f>C_LPTC_SEL_A S_take_off1</f>
        <v>0</v>
      </c>
      <c r="G117" s="101"/>
      <c r="H117" s="101"/>
      <c r="I117" s="101"/>
      <c r="J117" s="101">
        <f>C_LPTC_SEL_A S_Shut_D_oil_fuel</f>
        <v>0</v>
      </c>
      <c r="K117" s="104"/>
    </row>
    <row r="118" spans="1:11" ht="14.25" x14ac:dyDescent="0.2">
      <c r="A118" s="98" t="s">
        <v>301</v>
      </c>
      <c r="B118" s="106" t="s">
        <v>3</v>
      </c>
      <c r="C118" s="101">
        <f>C_RAC_SEL S_mini_idle</f>
        <v>0</v>
      </c>
      <c r="D118" s="101">
        <f>C_RAC_SEL S_approach_idle</f>
        <v>0</v>
      </c>
      <c r="E118" s="101">
        <f>C_RAC_SEL S_maxi_continu1</f>
        <v>0</v>
      </c>
      <c r="F118" s="101">
        <f>C_RAC_SEL S_take_off1</f>
        <v>0</v>
      </c>
      <c r="G118" s="101"/>
      <c r="H118" s="101"/>
      <c r="I118" s="125"/>
      <c r="J118" s="125">
        <f>C_RAC_SEL S_Shut_D_oil_fuel</f>
        <v>0</v>
      </c>
      <c r="K118" s="104"/>
    </row>
    <row r="119" spans="1:11" ht="14.25" x14ac:dyDescent="0.2">
      <c r="A119" s="98" t="s">
        <v>32</v>
      </c>
      <c r="B119" s="106" t="s">
        <v>30</v>
      </c>
      <c r="C119" s="134">
        <f>C_N1R S_mini_idle</f>
        <v>0</v>
      </c>
      <c r="D119" s="134">
        <f>C_N1R S_approach_idle</f>
        <v>0</v>
      </c>
      <c r="E119" s="134">
        <f>C_N1R S_maxi_continu1</f>
        <v>0</v>
      </c>
      <c r="F119" s="134">
        <f>C_N1R S_take_off1</f>
        <v>0</v>
      </c>
      <c r="G119" s="134"/>
      <c r="H119" s="134"/>
      <c r="I119" s="99"/>
      <c r="J119" s="99">
        <f>C_N1R S_Shut_D_oil_fuel</f>
        <v>0</v>
      </c>
      <c r="K119" s="104"/>
    </row>
    <row r="120" spans="1:11" ht="14.25" x14ac:dyDescent="0.2">
      <c r="A120" s="98" t="s">
        <v>35</v>
      </c>
      <c r="B120" s="106" t="s">
        <v>30</v>
      </c>
      <c r="C120" s="135" t="s">
        <v>1</v>
      </c>
      <c r="D120" s="135" t="s">
        <v>1</v>
      </c>
      <c r="E120" s="100">
        <f>C_N2K S_maxi_continu1</f>
        <v>0</v>
      </c>
      <c r="F120" s="100">
        <f>C_N2K S_take_off1</f>
        <v>0</v>
      </c>
      <c r="G120" s="100"/>
      <c r="H120" s="100"/>
      <c r="I120" s="135"/>
      <c r="J120" s="135" t="s">
        <v>1</v>
      </c>
      <c r="K120" s="104"/>
    </row>
    <row r="121" spans="1:11" ht="14.25" x14ac:dyDescent="0.2">
      <c r="A121" s="98" t="s">
        <v>16</v>
      </c>
      <c r="B121" s="106" t="s">
        <v>147</v>
      </c>
      <c r="C121" s="135" t="s">
        <v>1</v>
      </c>
      <c r="D121" s="135" t="s">
        <v>1</v>
      </c>
      <c r="E121" s="100">
        <f>C_FNK S_maxi_continu1</f>
        <v>0</v>
      </c>
      <c r="F121" s="100">
        <f>C_FNK S_take_off1</f>
        <v>0</v>
      </c>
      <c r="G121" s="100"/>
      <c r="H121" s="100"/>
      <c r="I121" s="135"/>
      <c r="J121" s="135" t="s">
        <v>1</v>
      </c>
      <c r="K121" s="104"/>
    </row>
    <row r="122" spans="1:11" ht="14.25" x14ac:dyDescent="0.2">
      <c r="A122" s="98" t="s">
        <v>77</v>
      </c>
      <c r="B122" s="106" t="s">
        <v>76</v>
      </c>
      <c r="C122" s="135" t="s">
        <v>1</v>
      </c>
      <c r="D122" s="135" t="s">
        <v>1</v>
      </c>
      <c r="E122" s="100">
        <f>C_WFK S_maxi_continu1</f>
        <v>0</v>
      </c>
      <c r="F122" s="100">
        <f>C_WFK S_take_off1</f>
        <v>0</v>
      </c>
      <c r="G122" s="100"/>
      <c r="H122" s="100"/>
      <c r="I122" s="135"/>
      <c r="J122" s="135" t="s">
        <v>1</v>
      </c>
      <c r="K122" s="104"/>
    </row>
    <row r="123" spans="1:11" ht="14.25" x14ac:dyDescent="0.2">
      <c r="A123" s="98" t="s">
        <v>6</v>
      </c>
      <c r="B123" s="106" t="s">
        <v>148</v>
      </c>
      <c r="C123" s="103" t="s">
        <v>1</v>
      </c>
      <c r="D123" s="103" t="s">
        <v>1</v>
      </c>
      <c r="E123" s="102">
        <f>C_EGTK S_maxi_continu1</f>
        <v>0</v>
      </c>
      <c r="F123" s="102">
        <f>C_EGTK S_take_off1</f>
        <v>0</v>
      </c>
      <c r="G123" s="102"/>
      <c r="H123" s="102"/>
      <c r="I123" s="103"/>
      <c r="J123" s="103" t="s">
        <v>1</v>
      </c>
      <c r="K123" s="104"/>
    </row>
    <row r="124" spans="1:11" ht="14.25" x14ac:dyDescent="0.2">
      <c r="A124" s="98" t="s">
        <v>63</v>
      </c>
      <c r="B124" s="106" t="s">
        <v>149</v>
      </c>
      <c r="C124" s="103" t="s">
        <v>1</v>
      </c>
      <c r="D124" s="103" t="s">
        <v>1</v>
      </c>
      <c r="E124" s="102" t="e">
        <f>_xlfn.SINGLE(C_SFCK S_maxi_continu1)</f>
        <v>#REF!</v>
      </c>
      <c r="F124" s="102" t="e">
        <f>_xlfn.SINGLE(C_SFCK S_take_off1)</f>
        <v>#REF!</v>
      </c>
      <c r="G124" s="102"/>
      <c r="H124" s="102"/>
      <c r="I124" s="103"/>
      <c r="J124" s="103" t="s">
        <v>1</v>
      </c>
      <c r="K124" s="104"/>
    </row>
    <row r="125" spans="1:11" ht="14.25" x14ac:dyDescent="0.2">
      <c r="A125" s="98" t="s">
        <v>27</v>
      </c>
      <c r="B125" s="106" t="s">
        <v>26</v>
      </c>
      <c r="C125" s="127">
        <f>C_MOPK S_mini_idle</f>
        <v>0</v>
      </c>
      <c r="D125" s="127">
        <f>C_MOPK S_approach_idle</f>
        <v>0</v>
      </c>
      <c r="E125" s="127">
        <f>C_MOPK S_maxi_continu1</f>
        <v>0</v>
      </c>
      <c r="F125" s="127">
        <f>C_MOPK S_take_off1</f>
        <v>0</v>
      </c>
      <c r="G125" s="127"/>
      <c r="H125" s="127"/>
      <c r="I125" s="126"/>
      <c r="J125" s="126">
        <f>C_MOPK S_Shut_D_oil_fuel</f>
        <v>0</v>
      </c>
      <c r="K125" s="104"/>
    </row>
    <row r="126" spans="1:11" ht="14.25" x14ac:dyDescent="0.2">
      <c r="A126" s="98" t="s">
        <v>163</v>
      </c>
      <c r="B126" s="106" t="s">
        <v>164</v>
      </c>
      <c r="C126" s="101">
        <f>C_TT2_F S_mini_idle</f>
        <v>0</v>
      </c>
      <c r="D126" s="101">
        <f>C_TT2_F S_approach_idle</f>
        <v>0</v>
      </c>
      <c r="E126" s="101">
        <f>C_TT2_F S_maxi_continu1</f>
        <v>0</v>
      </c>
      <c r="F126" s="101">
        <f>C_TT2_F S_take_off1</f>
        <v>0</v>
      </c>
      <c r="G126" s="101"/>
      <c r="H126" s="101"/>
      <c r="I126" s="125"/>
      <c r="J126" s="125">
        <f>C_TT2_F S_Shut_D_oil_fuel</f>
        <v>0</v>
      </c>
      <c r="K126" s="104"/>
    </row>
    <row r="127" spans="1:11" ht="14.25" x14ac:dyDescent="0.2">
      <c r="A127" s="98" t="s">
        <v>37</v>
      </c>
      <c r="B127" s="106" t="s">
        <v>30</v>
      </c>
      <c r="C127" s="134">
        <f>C_N2R25 S_mini_idle</f>
        <v>0</v>
      </c>
      <c r="D127" s="134">
        <f>C_N2R25 S_approach_idle</f>
        <v>0</v>
      </c>
      <c r="E127" s="134">
        <f>C_N2R25 S_maxi_continu1</f>
        <v>0</v>
      </c>
      <c r="F127" s="134">
        <f>C_N2R25 S_take_off1</f>
        <v>0</v>
      </c>
      <c r="G127" s="134"/>
      <c r="H127" s="134"/>
      <c r="I127" s="99"/>
      <c r="J127" s="99">
        <f>C_N2R25 S_Shut_D_oil_fuel</f>
        <v>0</v>
      </c>
      <c r="K127" s="104"/>
    </row>
    <row r="128" spans="1:11" ht="14.25" x14ac:dyDescent="0.2">
      <c r="A128" s="98" t="s">
        <v>187</v>
      </c>
      <c r="B128" s="106" t="s">
        <v>3</v>
      </c>
      <c r="C128" s="103" t="s">
        <v>1</v>
      </c>
      <c r="D128" s="103" t="s">
        <v>1</v>
      </c>
      <c r="E128" s="103" t="s">
        <v>1</v>
      </c>
      <c r="F128" s="127">
        <f>C_FNK_TO_MAR S_take_off1</f>
        <v>0</v>
      </c>
      <c r="G128" s="103"/>
      <c r="H128" s="127"/>
      <c r="I128" s="103"/>
      <c r="J128" s="103" t="s">
        <v>1</v>
      </c>
      <c r="K128" s="104"/>
    </row>
    <row r="129" spans="1:11" ht="14.25" x14ac:dyDescent="0.2">
      <c r="A129" s="98" t="s">
        <v>64</v>
      </c>
      <c r="B129" s="106" t="s">
        <v>149</v>
      </c>
      <c r="C129" s="101">
        <f>C_SFCRF S_mini_idle</f>
        <v>0</v>
      </c>
      <c r="D129" s="101">
        <f>C_SFCRF S_approach_idle</f>
        <v>0</v>
      </c>
      <c r="E129" s="101">
        <f>C_SFCRF S_maxi_continu1</f>
        <v>0</v>
      </c>
      <c r="F129" s="101">
        <f>C_SFCRF S_take_off1</f>
        <v>0</v>
      </c>
      <c r="G129" s="101"/>
      <c r="H129" s="101"/>
      <c r="I129" s="125"/>
      <c r="J129" s="125">
        <f>C_SFCRF S_Shut_D_oil_fuel</f>
        <v>0</v>
      </c>
      <c r="K129" s="104"/>
    </row>
    <row r="130" spans="1:11" ht="14.25" x14ac:dyDescent="0.2">
      <c r="A130" s="98" t="s">
        <v>74</v>
      </c>
      <c r="B130" s="106" t="s">
        <v>299</v>
      </c>
      <c r="C130" s="103" t="s">
        <v>1</v>
      </c>
      <c r="D130" s="103" t="s">
        <v>1</v>
      </c>
      <c r="E130" s="101">
        <f>C_W2K S_maxi_continu1</f>
        <v>0</v>
      </c>
      <c r="F130" s="101">
        <f>C_W2K S_take_off1</f>
        <v>0</v>
      </c>
      <c r="G130" s="101"/>
      <c r="H130" s="101"/>
      <c r="I130" s="103"/>
      <c r="J130" s="103" t="s">
        <v>1</v>
      </c>
      <c r="K130" s="104"/>
    </row>
    <row r="131" spans="1:11" ht="14.25" x14ac:dyDescent="0.2">
      <c r="A131" s="98" t="s">
        <v>2</v>
      </c>
      <c r="B131" s="106" t="s">
        <v>165</v>
      </c>
      <c r="C131" s="101">
        <f>C_CTR S_mini_idle</f>
        <v>0</v>
      </c>
      <c r="D131" s="101">
        <f>C_CTR S_approach_idle</f>
        <v>0</v>
      </c>
      <c r="E131" s="101">
        <f>C_CTR S_maxi_continu1</f>
        <v>0</v>
      </c>
      <c r="F131" s="101">
        <f>C_CTR S_take_off1</f>
        <v>0</v>
      </c>
      <c r="G131" s="101"/>
      <c r="H131" s="101"/>
      <c r="I131" s="125"/>
      <c r="J131" s="125">
        <f>C_CTR S_Shut_D_oil_fuel</f>
        <v>0</v>
      </c>
      <c r="K131" s="104"/>
    </row>
    <row r="132" spans="1:11" ht="14.25" x14ac:dyDescent="0.2">
      <c r="A132" s="98" t="s">
        <v>18</v>
      </c>
      <c r="B132" s="106" t="s">
        <v>147</v>
      </c>
      <c r="C132" s="103" t="s">
        <v>1</v>
      </c>
      <c r="D132" s="103" t="s">
        <v>1</v>
      </c>
      <c r="E132" s="100">
        <f>C_FNKM S_maxi_continu1</f>
        <v>0</v>
      </c>
      <c r="F132" s="100">
        <f>C_FNKM S_take_off1</f>
        <v>0</v>
      </c>
      <c r="G132" s="102"/>
      <c r="H132" s="102"/>
      <c r="I132" s="103"/>
      <c r="J132" s="103" t="s">
        <v>1</v>
      </c>
      <c r="K132" s="104"/>
    </row>
    <row r="133" spans="1:11" ht="14.25" x14ac:dyDescent="0.2">
      <c r="A133" s="98" t="s">
        <v>142</v>
      </c>
      <c r="B133" s="106" t="s">
        <v>148</v>
      </c>
      <c r="C133" s="103" t="s">
        <v>1</v>
      </c>
      <c r="D133" s="103" t="s">
        <v>1</v>
      </c>
      <c r="E133" s="102">
        <f>C_EGTKM S_maxi_continu1</f>
        <v>0</v>
      </c>
      <c r="F133" s="102">
        <f>C_EGTKM S_take_off1</f>
        <v>0</v>
      </c>
      <c r="G133" s="102"/>
      <c r="H133" s="102"/>
      <c r="I133" s="103"/>
      <c r="J133" s="103" t="s">
        <v>1</v>
      </c>
      <c r="K133" s="104"/>
    </row>
    <row r="134" spans="1:11" ht="14.25" x14ac:dyDescent="0.2">
      <c r="A134" s="98" t="s">
        <v>36</v>
      </c>
      <c r="B134" s="106" t="s">
        <v>30</v>
      </c>
      <c r="C134" s="135" t="s">
        <v>1</v>
      </c>
      <c r="D134" s="135" t="s">
        <v>1</v>
      </c>
      <c r="E134" s="100">
        <f>C_N2KM S_maxi_continu1</f>
        <v>0</v>
      </c>
      <c r="F134" s="100">
        <f>C_N2KM S_take_off1</f>
        <v>0</v>
      </c>
      <c r="G134" s="100"/>
      <c r="H134" s="100"/>
      <c r="I134" s="135"/>
      <c r="J134" s="103" t="s">
        <v>1</v>
      </c>
      <c r="K134" s="104"/>
    </row>
    <row r="135" spans="1:11" ht="14.25" x14ac:dyDescent="0.2">
      <c r="A135" s="98" t="s">
        <v>172</v>
      </c>
      <c r="B135" s="106" t="s">
        <v>30</v>
      </c>
      <c r="C135" s="135" t="s">
        <v>1</v>
      </c>
      <c r="D135" s="135" t="s">
        <v>1</v>
      </c>
      <c r="E135" s="100">
        <f>C_N2R2HD S_maxi_continu1</f>
        <v>0</v>
      </c>
      <c r="F135" s="100">
        <f>C_N2R2HD S_take_off1</f>
        <v>0</v>
      </c>
      <c r="G135" s="100"/>
      <c r="H135" s="100"/>
      <c r="I135" s="135"/>
      <c r="J135" s="103" t="s">
        <v>1</v>
      </c>
      <c r="K135" s="104"/>
    </row>
    <row r="136" spans="1:11" ht="14.25" x14ac:dyDescent="0.2">
      <c r="A136" s="98" t="s">
        <v>4</v>
      </c>
      <c r="B136" s="106" t="s">
        <v>148</v>
      </c>
      <c r="C136" s="103" t="s">
        <v>1</v>
      </c>
      <c r="D136" s="103" t="s">
        <v>1</v>
      </c>
      <c r="E136" s="102">
        <f>C_EGTHD S_maxi_continu1</f>
        <v>0</v>
      </c>
      <c r="F136" s="102">
        <f>C_EGTHD S_take_off1</f>
        <v>0</v>
      </c>
      <c r="G136" s="102"/>
      <c r="H136" s="102"/>
      <c r="I136" s="103"/>
      <c r="J136" s="103" t="s">
        <v>1</v>
      </c>
      <c r="K136" s="104"/>
    </row>
    <row r="137" spans="1:11" ht="14.25" x14ac:dyDescent="0.2">
      <c r="A137" s="98" t="s">
        <v>34</v>
      </c>
      <c r="B137" s="106" t="s">
        <v>30</v>
      </c>
      <c r="C137" s="135" t="s">
        <v>1</v>
      </c>
      <c r="D137" s="135" t="s">
        <v>1</v>
      </c>
      <c r="E137" s="100">
        <f>C_N2HDM S_maxi_continu1</f>
        <v>0</v>
      </c>
      <c r="F137" s="100">
        <f>C_N2HDM S_take_off1</f>
        <v>0</v>
      </c>
      <c r="G137" s="102"/>
      <c r="H137" s="102"/>
      <c r="I137" s="103"/>
      <c r="J137" s="103" t="s">
        <v>1</v>
      </c>
      <c r="K137" s="104"/>
    </row>
    <row r="138" spans="1:11" ht="14.25" x14ac:dyDescent="0.2">
      <c r="A138" s="98" t="s">
        <v>5</v>
      </c>
      <c r="B138" s="106" t="s">
        <v>148</v>
      </c>
      <c r="C138" s="103" t="s">
        <v>1</v>
      </c>
      <c r="D138" s="103" t="s">
        <v>1</v>
      </c>
      <c r="E138" s="102">
        <f>C_EGTHDM S_maxi_continu1</f>
        <v>0</v>
      </c>
      <c r="F138" s="102">
        <f>C_EGTHDM S_take_off1</f>
        <v>0</v>
      </c>
      <c r="G138" s="102"/>
      <c r="H138" s="102"/>
      <c r="I138" s="103"/>
      <c r="J138" s="103" t="s">
        <v>1</v>
      </c>
      <c r="K138" s="104"/>
    </row>
    <row r="139" spans="1:11" ht="14.25" x14ac:dyDescent="0.2">
      <c r="A139" s="98" t="s">
        <v>143</v>
      </c>
      <c r="B139" s="106" t="s">
        <v>148</v>
      </c>
      <c r="C139" s="103" t="s">
        <v>1</v>
      </c>
      <c r="D139" s="103" t="s">
        <v>1</v>
      </c>
      <c r="E139" s="102">
        <f>C_EGTHD_MARG S_maxi_continu1</f>
        <v>0</v>
      </c>
      <c r="F139" s="102">
        <f>C_EGTHD_MARG S_take_off1</f>
        <v>0</v>
      </c>
      <c r="G139" s="102"/>
      <c r="H139" s="102"/>
      <c r="I139" s="103"/>
      <c r="J139" s="103" t="s">
        <v>1</v>
      </c>
      <c r="K139" s="104"/>
    </row>
    <row r="140" spans="1:11" ht="14.25" x14ac:dyDescent="0.2">
      <c r="A140" s="104"/>
      <c r="B140" s="128"/>
      <c r="C140" s="104"/>
      <c r="D140" s="104"/>
      <c r="E140" s="104"/>
      <c r="F140" s="104"/>
      <c r="G140" s="104"/>
      <c r="H140" s="104"/>
      <c r="I140" s="104"/>
      <c r="J140" s="104"/>
      <c r="K140" s="104"/>
    </row>
    <row r="141" spans="1:11" ht="14.25" x14ac:dyDescent="0.2">
      <c r="A141" s="104"/>
      <c r="B141" s="128"/>
      <c r="C141" s="104"/>
      <c r="D141" s="104"/>
      <c r="E141" s="104"/>
      <c r="F141" s="104"/>
      <c r="G141" s="104"/>
      <c r="H141" s="104"/>
      <c r="I141" s="104"/>
      <c r="J141" s="104"/>
      <c r="K141" s="104"/>
    </row>
  </sheetData>
  <sheetProtection password="E78E" sheet="1"/>
  <mergeCells count="1">
    <mergeCell ref="D7:G8"/>
  </mergeCells>
  <conditionalFormatting sqref="B40">
    <cfRule type="containsBlanks" dxfId="130" priority="4" stopIfTrue="1">
      <formula>LEN(TRIM(B40))=0</formula>
    </cfRule>
  </conditionalFormatting>
  <conditionalFormatting sqref="B43">
    <cfRule type="containsBlanks" dxfId="129" priority="3" stopIfTrue="1">
      <formula>LEN(TRIM(B43))=0</formula>
    </cfRule>
  </conditionalFormatting>
  <conditionalFormatting sqref="B46">
    <cfRule type="containsBlanks" dxfId="128" priority="1" stopIfTrue="1">
      <formula>LEN(TRIM(B46))=0</formula>
    </cfRule>
  </conditionalFormatting>
  <pageMargins left="0.45" right="0.2" top="0.75" bottom="0.5" header="0.3" footer="0.3"/>
  <pageSetup paperSize="9" scale="70" fitToHeight="3" orientation="landscape" horizontalDpi="200" verticalDpi="200" r:id="rId1"/>
  <headerFooter alignWithMargins="0">
    <oddFooter>&amp;C&amp;P of 3</oddFooter>
  </headerFooter>
  <rowBreaks count="2" manualBreakCount="2">
    <brk id="49" max="16383" man="1"/>
    <brk id="100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00"/>
  </sheetPr>
  <dimension ref="A1:IL141"/>
  <sheetViews>
    <sheetView showGridLines="0" zoomScaleNormal="100" workbookViewId="0">
      <selection activeCell="D44" sqref="D44"/>
    </sheetView>
    <sheetView workbookViewId="1"/>
  </sheetViews>
  <sheetFormatPr defaultColWidth="11.42578125" defaultRowHeight="12.75" x14ac:dyDescent="0.2"/>
  <cols>
    <col min="1" max="1" width="22.28515625" customWidth="1"/>
    <col min="2" max="2" width="15.7109375" customWidth="1"/>
    <col min="3" max="3" width="32.7109375" customWidth="1"/>
    <col min="4" max="4" width="21.42578125" customWidth="1"/>
    <col min="5" max="6" width="15.7109375" customWidth="1"/>
    <col min="7" max="7" width="17.7109375" bestFit="1" customWidth="1"/>
    <col min="8" max="8" width="18.42578125" customWidth="1"/>
    <col min="9" max="9" width="18.85546875" customWidth="1"/>
    <col min="10" max="10" width="19.85546875" customWidth="1"/>
    <col min="11" max="11" width="4.28515625" customWidth="1"/>
  </cols>
  <sheetData>
    <row r="1" spans="1:11" x14ac:dyDescent="0.2">
      <c r="A1" s="5"/>
      <c r="B1" s="5"/>
      <c r="C1" s="25"/>
      <c r="D1" s="26"/>
      <c r="E1" s="24"/>
      <c r="F1" s="23"/>
      <c r="G1" s="27"/>
      <c r="H1" s="6"/>
      <c r="I1" s="6"/>
      <c r="J1" s="6"/>
      <c r="K1" s="6"/>
    </row>
    <row r="2" spans="1:11" ht="15.75" x14ac:dyDescent="0.25">
      <c r="A2" s="12" t="s">
        <v>124</v>
      </c>
      <c r="B2" s="13" t="str">
        <f>H_ENGINE_TYPE</f>
        <v>CFM56_7B</v>
      </c>
      <c r="C2" s="14"/>
      <c r="D2" s="9"/>
      <c r="E2" s="30"/>
      <c r="F2" s="31"/>
      <c r="G2" s="36"/>
      <c r="H2" s="12" t="s">
        <v>217</v>
      </c>
      <c r="I2" s="7"/>
      <c r="J2" s="19" t="str">
        <f>C52:J52</f>
        <v>19-8053</v>
      </c>
      <c r="K2" s="28"/>
    </row>
    <row r="3" spans="1:11" ht="15.75" x14ac:dyDescent="0.25">
      <c r="A3" s="12" t="s">
        <v>125</v>
      </c>
      <c r="B3" s="13" t="str">
        <f>H_CUSTOMER_NAME</f>
        <v>AFR</v>
      </c>
      <c r="C3" s="14"/>
      <c r="D3" s="9"/>
      <c r="E3" s="32"/>
      <c r="F3" s="33"/>
      <c r="G3" s="36"/>
      <c r="H3" s="12" t="s">
        <v>213</v>
      </c>
      <c r="I3" s="8"/>
      <c r="J3" s="21">
        <f>H_ESM_REV_NO</f>
        <v>74</v>
      </c>
      <c r="K3" s="29"/>
    </row>
    <row r="4" spans="1:11" ht="15.75" x14ac:dyDescent="0.25">
      <c r="A4" s="12" t="s">
        <v>127</v>
      </c>
      <c r="B4" s="13">
        <f>H_ENGINE_SERIAL_NO</f>
        <v>575499</v>
      </c>
      <c r="C4" s="14"/>
      <c r="D4" s="34"/>
      <c r="E4" s="30"/>
      <c r="F4" s="31"/>
      <c r="G4" s="36"/>
      <c r="H4" s="12" t="s">
        <v>214</v>
      </c>
      <c r="I4" s="7"/>
      <c r="J4" s="41" t="str">
        <f>H_ENG_CONF_3</f>
        <v>WL</v>
      </c>
      <c r="K4" s="28"/>
    </row>
    <row r="5" spans="1:11" ht="15" customHeight="1" x14ac:dyDescent="0.25">
      <c r="A5" s="12" t="s">
        <v>131</v>
      </c>
      <c r="B5" s="13" t="str">
        <f>H_ENG_CONF</f>
        <v>B4_P,B4_3</v>
      </c>
      <c r="C5" s="14"/>
      <c r="D5" s="9"/>
      <c r="E5" s="32"/>
      <c r="F5" s="31"/>
      <c r="G5" s="36"/>
      <c r="H5" s="12" t="s">
        <v>130</v>
      </c>
      <c r="I5" s="7"/>
      <c r="J5" s="19" t="str">
        <f>H_ECU_SOFT</f>
        <v>5BT.F1</v>
      </c>
      <c r="K5" s="28"/>
    </row>
    <row r="6" spans="1:11" ht="15.75" x14ac:dyDescent="0.25">
      <c r="A6" s="12" t="s">
        <v>215</v>
      </c>
      <c r="B6" s="13" t="str">
        <f>H_TEST_TYPE</f>
        <v>Performance Test</v>
      </c>
      <c r="C6" s="14"/>
      <c r="D6" s="30"/>
      <c r="E6" s="30"/>
      <c r="F6" s="31"/>
      <c r="G6" s="36"/>
      <c r="H6" s="12" t="s">
        <v>126</v>
      </c>
      <c r="I6" s="7"/>
      <c r="J6" s="19" t="str">
        <f>H_OIL_TYPE</f>
        <v>EX2380</v>
      </c>
      <c r="K6" s="28"/>
    </row>
    <row r="7" spans="1:11" ht="18" customHeight="1" x14ac:dyDescent="0.25">
      <c r="A7" s="12" t="s">
        <v>128</v>
      </c>
      <c r="B7" s="40">
        <f>H_TEST_DATE</f>
        <v>43729.338773148149</v>
      </c>
      <c r="C7" s="14"/>
      <c r="D7" s="498" t="s">
        <v>313</v>
      </c>
      <c r="E7" s="499"/>
      <c r="F7" s="499"/>
      <c r="G7" s="500"/>
      <c r="H7" s="12" t="s">
        <v>129</v>
      </c>
      <c r="I7" s="7"/>
      <c r="J7" s="21" t="str">
        <f>H_EXHAUST_NOZZLE</f>
        <v>Flight</v>
      </c>
      <c r="K7" s="28"/>
    </row>
    <row r="8" spans="1:11" ht="18" customHeight="1" x14ac:dyDescent="0.25">
      <c r="A8" s="12" t="s">
        <v>133</v>
      </c>
      <c r="B8" s="13" t="str">
        <f>H_ENG_QUALITY_REPAIR</f>
        <v>NQSV</v>
      </c>
      <c r="C8" s="14"/>
      <c r="D8" s="498"/>
      <c r="E8" s="499"/>
      <c r="F8" s="499"/>
      <c r="G8" s="500"/>
      <c r="H8" s="12" t="s">
        <v>134</v>
      </c>
      <c r="I8" s="7"/>
      <c r="J8" s="21">
        <f>H_BONUS_WORKSCOPE</f>
        <v>10</v>
      </c>
      <c r="K8" s="28"/>
    </row>
    <row r="9" spans="1:11" x14ac:dyDescent="0.2">
      <c r="K9" s="36"/>
    </row>
    <row r="10" spans="1:11" x14ac:dyDescent="0.2">
      <c r="B10" s="22"/>
      <c r="K10" s="36"/>
    </row>
    <row r="11" spans="1:11" s="104" customFormat="1" ht="15.75" x14ac:dyDescent="0.25">
      <c r="A11" s="129" t="s">
        <v>135</v>
      </c>
      <c r="B11" s="130" t="s">
        <v>136</v>
      </c>
      <c r="C11" s="131" t="s">
        <v>137</v>
      </c>
      <c r="D11" s="131" t="s">
        <v>138</v>
      </c>
      <c r="E11" s="131" t="s">
        <v>204</v>
      </c>
      <c r="F11" s="131" t="s">
        <v>205</v>
      </c>
      <c r="G11" s="131" t="s">
        <v>206</v>
      </c>
      <c r="H11" s="131" t="s">
        <v>207</v>
      </c>
      <c r="I11" s="131"/>
      <c r="J11" s="131" t="s">
        <v>139</v>
      </c>
    </row>
    <row r="12" spans="1:11" x14ac:dyDescent="0.2">
      <c r="B12" s="22"/>
    </row>
    <row r="13" spans="1:11" ht="14.25" x14ac:dyDescent="0.2">
      <c r="A13" s="104" t="s">
        <v>166</v>
      </c>
      <c r="B13" s="128"/>
      <c r="C13" s="104">
        <f>C_Engine_Configuration_1 S_mini_idle</f>
        <v>0</v>
      </c>
      <c r="D13" s="104">
        <f>C_Engine_Configuration_1 S_approach_idle</f>
        <v>0</v>
      </c>
      <c r="E13" s="104">
        <f>C_Engine_Configuration_1 S_maxi_continu1</f>
        <v>0</v>
      </c>
      <c r="F13" s="104">
        <f>C_Engine_Configuration_1 S_take_off1</f>
        <v>0</v>
      </c>
      <c r="G13" s="104">
        <f>C_Engine_Configuration_1 S_maxi_continu2</f>
        <v>0</v>
      </c>
      <c r="H13" s="104">
        <f>C_Engine_Configuration_1 S_take_off2</f>
        <v>0</v>
      </c>
      <c r="I13" s="104"/>
      <c r="J13" s="104">
        <f>C_Engine_Configuration_1 S_Shut_D_oil_fuel</f>
        <v>0</v>
      </c>
    </row>
    <row r="14" spans="1:11" ht="14.25" x14ac:dyDescent="0.2">
      <c r="A14" s="104" t="s">
        <v>121</v>
      </c>
      <c r="B14" s="128"/>
      <c r="C14" s="107">
        <f xml:space="preserve"> VLOOKUP(C_Engine_Rating S_mini_idle,enum_list!$A$2:$F$102,3,1)</f>
        <v>0</v>
      </c>
      <c r="D14" s="107">
        <f xml:space="preserve"> VLOOKUP(C_Engine_Rating S_approach_idle,enum_list!$A$2:$F$102,3,1)</f>
        <v>0</v>
      </c>
      <c r="E14" s="107">
        <f xml:space="preserve"> VLOOKUP(C_Engine_Rating S_maxi_continu1,enum_list!A2:F102,3,1)</f>
        <v>0</v>
      </c>
      <c r="F14" s="107">
        <f xml:space="preserve"> VLOOKUP(C_Engine_Rating S_take_off1,enum_list!A2:F102,3,1)</f>
        <v>0</v>
      </c>
      <c r="G14" s="107">
        <f xml:space="preserve"> VLOOKUP(C_Engine_Rating S_maxi_continu2,enum_list!A2:F102,3,1)</f>
        <v>0</v>
      </c>
      <c r="H14" s="107">
        <f xml:space="preserve"> VLOOKUP(C_Engine_Rating S_take_off2,enum_list!A2:F102,3,1)</f>
        <v>0</v>
      </c>
      <c r="I14" s="107"/>
      <c r="J14" s="107">
        <f xml:space="preserve"> VLOOKUP(C_Engine_Rating  S_Shut_D_oil_fuel,enum_list!A2:F102,3,1)</f>
        <v>0</v>
      </c>
    </row>
    <row r="15" spans="1:11" ht="14.25" x14ac:dyDescent="0.2">
      <c r="A15" s="104" t="s">
        <v>140</v>
      </c>
      <c r="B15" s="128"/>
      <c r="C15" s="107" t="str">
        <f xml:space="preserve"> VLOOKUP(C_Engineer_Name S_mini_idle,enum_list!A2:F102,2,1)</f>
        <v>Rytkonen</v>
      </c>
      <c r="D15" s="107" t="str">
        <f xml:space="preserve"> VLOOKUP(C_Engineer_Name S_approach_idle,enum_list!A2:F102,2,1)</f>
        <v>Rytkonen</v>
      </c>
      <c r="E15" s="107" t="str">
        <f xml:space="preserve"> VLOOKUP(C_Engineer_Name S_maxi_continu1,enum_list!A2:F102,2,1)</f>
        <v>Rytkonen</v>
      </c>
      <c r="F15" s="107" t="str">
        <f xml:space="preserve"> VLOOKUP(C_Engineer_Name S_take_off1,enum_list!A2:F102,2,1)</f>
        <v>Rytkonen</v>
      </c>
      <c r="G15" s="107" t="str">
        <f xml:space="preserve"> VLOOKUP(C_Engineer_Name S_maxi_continu2,enum_list!A2:F102,2,1)</f>
        <v>Rytkonen</v>
      </c>
      <c r="H15" s="107" t="str">
        <f xml:space="preserve"> VLOOKUP(C_Engineer_Name S_take_off2,enum_list!A2:F102,2,1)</f>
        <v>Rytkonen</v>
      </c>
      <c r="I15" s="107"/>
      <c r="J15" s="107" t="str">
        <f xml:space="preserve"> VLOOKUP(C_Engineer_Name S_Shut_D_oil_fuel,enum_list!A2:F102,2,1)</f>
        <v>Rytkonen</v>
      </c>
    </row>
    <row r="16" spans="1:11" ht="14.25" x14ac:dyDescent="0.2">
      <c r="A16" s="104" t="s">
        <v>141</v>
      </c>
      <c r="B16" s="128"/>
      <c r="C16" s="107" t="str">
        <f xml:space="preserve"> VLOOKUP(C_Operator_Name S_mini_idle,enum_list!$A2:$G102,7,1)</f>
        <v>Rytkonen</v>
      </c>
      <c r="D16" s="107" t="str">
        <f xml:space="preserve"> VLOOKUP(C_Operator_Name  S_approach_idle,enum_list!$A2:$G102,7,1)</f>
        <v>Rytkonen</v>
      </c>
      <c r="E16" s="107" t="str">
        <f xml:space="preserve"> VLOOKUP(C_Operator_Name  S_maxi_continu1,enum_list!A2:G102,7,1)</f>
        <v>Rytkonen</v>
      </c>
      <c r="F16" s="107" t="str">
        <f xml:space="preserve"> VLOOKUP(C_Operator_Name S_take_off1,enum_list!A2:G102,7,1)</f>
        <v>Rytkonen</v>
      </c>
      <c r="G16" s="107" t="str">
        <f xml:space="preserve"> VLOOKUP(C_Operator_Name S_maxi_continu2,enum_list!A2:G102,7,1)</f>
        <v>Rytkonen</v>
      </c>
      <c r="H16" s="107" t="str">
        <f xml:space="preserve"> VLOOKUP(C_Operator_Name S_take_off2,enum_list!A2:G102,7,1)</f>
        <v>Rytkonen</v>
      </c>
      <c r="I16" s="107"/>
      <c r="J16" s="107" t="str">
        <f xml:space="preserve"> VLOOKUP(C_Operator_Name S_Shut_D_oil_fuel,enum_list!A2:G102,7,1)</f>
        <v>Rytkonen</v>
      </c>
    </row>
    <row r="17" spans="1:10" ht="14.25" x14ac:dyDescent="0.2">
      <c r="A17" s="104" t="s">
        <v>185</v>
      </c>
      <c r="B17" s="128"/>
      <c r="C17" s="108">
        <f>C_DateDays S_mini_idle</f>
        <v>0</v>
      </c>
      <c r="D17" s="109">
        <f>C_DateDays  S_approach_idle</f>
        <v>0</v>
      </c>
      <c r="E17" s="108">
        <f>C_DateDays  S_maxi_continu1</f>
        <v>0</v>
      </c>
      <c r="F17" s="109">
        <f>C_DateDays S_take_off1</f>
        <v>0</v>
      </c>
      <c r="G17" s="109">
        <f>C_DateDays S_maxi_continu2</f>
        <v>0</v>
      </c>
      <c r="H17" s="109">
        <f>C_DateDays S_take_off2</f>
        <v>0</v>
      </c>
      <c r="I17" s="109"/>
      <c r="J17" s="109">
        <f>C_DateDays S_Shut_D_oil_fuel</f>
        <v>0</v>
      </c>
    </row>
    <row r="18" spans="1:10" ht="14.25" x14ac:dyDescent="0.2">
      <c r="A18" s="104" t="s">
        <v>167</v>
      </c>
      <c r="B18" s="128"/>
      <c r="C18" s="110">
        <f>C_DateTime S_mini_idle</f>
        <v>0</v>
      </c>
      <c r="D18" s="111">
        <f>C_DateTime S_approach_idle</f>
        <v>0</v>
      </c>
      <c r="E18" s="110">
        <f>C_DateTime S_maxi_continu1</f>
        <v>0</v>
      </c>
      <c r="F18" s="111">
        <f>C_DateTime S_take_off1</f>
        <v>0</v>
      </c>
      <c r="G18" s="111">
        <f>C_DateTime S_maxi_continu2</f>
        <v>0</v>
      </c>
      <c r="H18" s="111">
        <f>C_DateTime S_take_off2</f>
        <v>0</v>
      </c>
      <c r="I18" s="111"/>
      <c r="J18" s="111">
        <f>C_DateTime S_Shut_D_oil_fuel</f>
        <v>0</v>
      </c>
    </row>
    <row r="19" spans="1:10" ht="14.25" x14ac:dyDescent="0.2">
      <c r="A19" s="104"/>
      <c r="B19" s="128"/>
      <c r="C19" s="110"/>
      <c r="D19" s="111"/>
      <c r="E19" s="110"/>
      <c r="F19" s="111"/>
      <c r="G19" s="111"/>
      <c r="H19" s="111"/>
      <c r="I19" s="111"/>
      <c r="J19" s="111"/>
    </row>
    <row r="20" spans="1:10" ht="15" x14ac:dyDescent="0.2">
      <c r="A20" s="98" t="s">
        <v>32</v>
      </c>
      <c r="B20" s="106" t="s">
        <v>30</v>
      </c>
      <c r="C20" s="112">
        <f>C_N1R S_mini_idle</f>
        <v>0</v>
      </c>
      <c r="D20" s="113">
        <f>C_N1R S_approach_idle</f>
        <v>0</v>
      </c>
      <c r="E20" s="112">
        <f>C_N1R S_maxi_continu1</f>
        <v>0</v>
      </c>
      <c r="F20" s="113">
        <f>C_N1R S_take_off1</f>
        <v>0</v>
      </c>
      <c r="G20" s="113">
        <f>C_N1R S_maxi_continu2</f>
        <v>0</v>
      </c>
      <c r="H20" s="113">
        <f>C_N1R S_take_off2</f>
        <v>0</v>
      </c>
      <c r="I20" s="113"/>
      <c r="J20" s="113" t="s">
        <v>1</v>
      </c>
    </row>
    <row r="21" spans="1:10" ht="15" x14ac:dyDescent="0.2">
      <c r="A21" s="98" t="s">
        <v>35</v>
      </c>
      <c r="B21" s="106" t="s">
        <v>30</v>
      </c>
      <c r="C21" s="114" t="s">
        <v>1</v>
      </c>
      <c r="D21" s="114" t="s">
        <v>1</v>
      </c>
      <c r="E21" s="115">
        <f>C_N2K S_maxi_continu1</f>
        <v>0</v>
      </c>
      <c r="F21" s="115">
        <f>C_N2K S_take_off1</f>
        <v>0</v>
      </c>
      <c r="G21" s="115">
        <f>C_N2K S_maxi_continu2</f>
        <v>0</v>
      </c>
      <c r="H21" s="115">
        <f>C_N2K S_take_off2</f>
        <v>0</v>
      </c>
      <c r="I21" s="114"/>
      <c r="J21" s="114" t="s">
        <v>1</v>
      </c>
    </row>
    <row r="22" spans="1:10" ht="15" x14ac:dyDescent="0.2">
      <c r="A22" s="98" t="s">
        <v>16</v>
      </c>
      <c r="B22" s="106" t="s">
        <v>147</v>
      </c>
      <c r="C22" s="114" t="s">
        <v>1</v>
      </c>
      <c r="D22" s="114" t="s">
        <v>1</v>
      </c>
      <c r="E22" s="115">
        <f>C_FNK S_maxi_continu1</f>
        <v>0</v>
      </c>
      <c r="F22" s="115">
        <f>C_FNK S_take_off1</f>
        <v>0</v>
      </c>
      <c r="G22" s="115">
        <f>C_FNK S_maxi_continu2</f>
        <v>0</v>
      </c>
      <c r="H22" s="115">
        <f>C_FNK S_take_off2</f>
        <v>0</v>
      </c>
      <c r="I22" s="114"/>
      <c r="J22" s="114" t="s">
        <v>1</v>
      </c>
    </row>
    <row r="23" spans="1:10" ht="15" x14ac:dyDescent="0.2">
      <c r="A23" s="98" t="s">
        <v>74</v>
      </c>
      <c r="B23" s="106" t="s">
        <v>76</v>
      </c>
      <c r="C23" s="114" t="s">
        <v>1</v>
      </c>
      <c r="D23" s="114" t="s">
        <v>1</v>
      </c>
      <c r="E23" s="112">
        <f>C_W2K S_maxi_continu1</f>
        <v>0</v>
      </c>
      <c r="F23" s="112">
        <f>C_W2K S_take_off1</f>
        <v>0</v>
      </c>
      <c r="G23" s="112">
        <f>C_W2K S_maxi_continu2</f>
        <v>0</v>
      </c>
      <c r="H23" s="112">
        <f>C_W2K S_take_off2</f>
        <v>0</v>
      </c>
      <c r="I23" s="114"/>
      <c r="J23" s="114" t="s">
        <v>1</v>
      </c>
    </row>
    <row r="24" spans="1:10" ht="15" x14ac:dyDescent="0.2">
      <c r="A24" s="98" t="s">
        <v>77</v>
      </c>
      <c r="B24" s="106" t="s">
        <v>76</v>
      </c>
      <c r="C24" s="114" t="s">
        <v>1</v>
      </c>
      <c r="D24" s="114" t="s">
        <v>1</v>
      </c>
      <c r="E24" s="115">
        <f>C_WFK S_maxi_continu1</f>
        <v>0</v>
      </c>
      <c r="F24" s="115">
        <f>C_WFK S_take_off1</f>
        <v>0</v>
      </c>
      <c r="G24" s="115">
        <f>C_WFK S_maxi_continu2</f>
        <v>0</v>
      </c>
      <c r="H24" s="115">
        <f>C_WFK S_take_off2</f>
        <v>0</v>
      </c>
      <c r="I24" s="114"/>
      <c r="J24" s="114" t="s">
        <v>1</v>
      </c>
    </row>
    <row r="25" spans="1:10" ht="15" x14ac:dyDescent="0.2">
      <c r="A25" s="98" t="s">
        <v>6</v>
      </c>
      <c r="B25" s="106" t="s">
        <v>148</v>
      </c>
      <c r="C25" s="114" t="s">
        <v>1</v>
      </c>
      <c r="D25" s="114" t="s">
        <v>1</v>
      </c>
      <c r="E25" s="116">
        <f>C_EGTK S_maxi_continu1</f>
        <v>0</v>
      </c>
      <c r="F25" s="116">
        <f>C_EGTK S_take_off1</f>
        <v>0</v>
      </c>
      <c r="G25" s="116">
        <f>C_EGTK S_maxi_continu2</f>
        <v>0</v>
      </c>
      <c r="H25" s="116">
        <f>C_EGTK S_take_off2</f>
        <v>0</v>
      </c>
      <c r="I25" s="114"/>
      <c r="J25" s="114" t="s">
        <v>1</v>
      </c>
    </row>
    <row r="26" spans="1:10" ht="15" x14ac:dyDescent="0.2">
      <c r="A26" s="98" t="s">
        <v>63</v>
      </c>
      <c r="B26" s="106" t="s">
        <v>149</v>
      </c>
      <c r="C26" s="114" t="s">
        <v>1</v>
      </c>
      <c r="D26" s="114" t="s">
        <v>1</v>
      </c>
      <c r="E26" s="116" t="e">
        <f>_xlfn.SINGLE(C_SFCK S_maxi_continu1)</f>
        <v>#REF!</v>
      </c>
      <c r="F26" s="116" t="e">
        <f>_xlfn.SINGLE(C_SFCK S_take_off1)</f>
        <v>#REF!</v>
      </c>
      <c r="G26" s="116" t="e">
        <f>_xlfn.SINGLE(C_SFCK S_maxi_continu2)</f>
        <v>#REF!</v>
      </c>
      <c r="H26" s="116" t="e">
        <f>_xlfn.SINGLE(C_SFCK S_take_off2)</f>
        <v>#REF!</v>
      </c>
      <c r="I26" s="114"/>
      <c r="J26" s="114" t="s">
        <v>1</v>
      </c>
    </row>
    <row r="27" spans="1:10" ht="15" x14ac:dyDescent="0.2">
      <c r="A27" s="98" t="s">
        <v>17</v>
      </c>
      <c r="B27" s="106" t="s">
        <v>3</v>
      </c>
      <c r="C27" s="114" t="s">
        <v>1</v>
      </c>
      <c r="D27" s="114" t="s">
        <v>1</v>
      </c>
      <c r="E27" s="118" t="s">
        <v>1</v>
      </c>
      <c r="F27" s="119">
        <f>C_FNK_TO_MAR S_take_off1</f>
        <v>0</v>
      </c>
      <c r="G27" s="118" t="s">
        <v>1</v>
      </c>
      <c r="H27" s="119">
        <f>C_FNK_TO_MAR S_take_off2</f>
        <v>0</v>
      </c>
      <c r="I27" s="114"/>
      <c r="J27" s="114" t="s">
        <v>1</v>
      </c>
    </row>
    <row r="28" spans="1:10" ht="15" x14ac:dyDescent="0.2">
      <c r="A28" s="98" t="s">
        <v>18</v>
      </c>
      <c r="B28" s="106" t="s">
        <v>147</v>
      </c>
      <c r="C28" s="114" t="s">
        <v>1</v>
      </c>
      <c r="D28" s="114" t="s">
        <v>1</v>
      </c>
      <c r="E28" s="115">
        <f>C_FNKM S_maxi_continu1</f>
        <v>0</v>
      </c>
      <c r="F28" s="115">
        <f>C_FNKM S_take_off1</f>
        <v>0</v>
      </c>
      <c r="G28" s="115">
        <f>C_FNKM S_maxi_continu2</f>
        <v>0</v>
      </c>
      <c r="H28" s="115">
        <f>C_FNKM S_take_off2</f>
        <v>0</v>
      </c>
      <c r="I28" s="114"/>
      <c r="J28" s="114" t="s">
        <v>1</v>
      </c>
    </row>
    <row r="29" spans="1:10" ht="15" x14ac:dyDescent="0.2">
      <c r="A29" s="98" t="s">
        <v>142</v>
      </c>
      <c r="B29" s="106" t="s">
        <v>148</v>
      </c>
      <c r="C29" s="114" t="s">
        <v>1</v>
      </c>
      <c r="D29" s="114" t="s">
        <v>1</v>
      </c>
      <c r="E29" s="116">
        <f>C_EGTKM S_maxi_continu1</f>
        <v>0</v>
      </c>
      <c r="F29" s="116">
        <f>C_EGTKM S_take_off1</f>
        <v>0</v>
      </c>
      <c r="G29" s="116">
        <f>C_EGTKM S_maxi_continu2</f>
        <v>0</v>
      </c>
      <c r="H29" s="116">
        <f>C_EGTKM S_take_off2</f>
        <v>0</v>
      </c>
      <c r="I29" s="114"/>
      <c r="J29" s="114" t="s">
        <v>1</v>
      </c>
    </row>
    <row r="30" spans="1:10" ht="15" x14ac:dyDescent="0.2">
      <c r="A30" s="98" t="s">
        <v>36</v>
      </c>
      <c r="B30" s="106" t="s">
        <v>30</v>
      </c>
      <c r="C30" s="114" t="s">
        <v>1</v>
      </c>
      <c r="D30" s="114" t="s">
        <v>1</v>
      </c>
      <c r="E30" s="115">
        <f>C_N2KM S_maxi_continu1</f>
        <v>0</v>
      </c>
      <c r="F30" s="115">
        <f>C_N2KM S_take_off1</f>
        <v>0</v>
      </c>
      <c r="G30" s="115">
        <f>C_N2KM S_maxi_continu2</f>
        <v>0</v>
      </c>
      <c r="H30" s="115">
        <f>C_N2KM S_take_off2</f>
        <v>0</v>
      </c>
      <c r="I30" s="114"/>
      <c r="J30" s="114" t="s">
        <v>1</v>
      </c>
    </row>
    <row r="31" spans="1:10" ht="15" x14ac:dyDescent="0.2">
      <c r="A31" s="98" t="s">
        <v>304</v>
      </c>
      <c r="B31" s="106" t="s">
        <v>30</v>
      </c>
      <c r="C31" s="114" t="s">
        <v>1</v>
      </c>
      <c r="D31" s="114" t="s">
        <v>1</v>
      </c>
      <c r="E31" s="115">
        <f>C_N2R2HD S_maxi_continu1</f>
        <v>0</v>
      </c>
      <c r="F31" s="115">
        <f>C_N2R2HD S_take_off1</f>
        <v>0</v>
      </c>
      <c r="G31" s="115">
        <f>C_N2R2HD S_maxi_continu2</f>
        <v>0</v>
      </c>
      <c r="H31" s="115">
        <f>C_N2R2HD S_take_off2</f>
        <v>0</v>
      </c>
      <c r="I31" s="114"/>
      <c r="J31" s="114" t="s">
        <v>1</v>
      </c>
    </row>
    <row r="32" spans="1:10" ht="15" x14ac:dyDescent="0.2">
      <c r="A32" s="98" t="s">
        <v>34</v>
      </c>
      <c r="B32" s="106" t="s">
        <v>30</v>
      </c>
      <c r="C32" s="114" t="s">
        <v>1</v>
      </c>
      <c r="D32" s="114" t="s">
        <v>1</v>
      </c>
      <c r="E32" s="115">
        <f>C_N2HDM S_maxi_continu1</f>
        <v>0</v>
      </c>
      <c r="F32" s="115">
        <f>C_N2HDM S_take_off1</f>
        <v>0</v>
      </c>
      <c r="G32" s="115">
        <f>C_N2HDM S_maxi_continu2</f>
        <v>0</v>
      </c>
      <c r="H32" s="115">
        <f>C_N2HDM S_take_off2</f>
        <v>0</v>
      </c>
      <c r="I32" s="114"/>
      <c r="J32" s="114" t="s">
        <v>1</v>
      </c>
    </row>
    <row r="33" spans="1:11" ht="15" x14ac:dyDescent="0.2">
      <c r="A33" s="98" t="s">
        <v>4</v>
      </c>
      <c r="B33" s="106" t="s">
        <v>148</v>
      </c>
      <c r="C33" s="114" t="s">
        <v>1</v>
      </c>
      <c r="D33" s="114" t="s">
        <v>1</v>
      </c>
      <c r="E33" s="116">
        <f>C_EGTHD S_maxi_continu1</f>
        <v>0</v>
      </c>
      <c r="F33" s="116">
        <f>C_EGTHD S_take_off1</f>
        <v>0</v>
      </c>
      <c r="G33" s="116">
        <f>C_EGTHD S_maxi_continu2</f>
        <v>0</v>
      </c>
      <c r="H33" s="116">
        <f>C_EGTHD S_take_off2</f>
        <v>0</v>
      </c>
      <c r="I33" s="114"/>
      <c r="J33" s="114" t="s">
        <v>1</v>
      </c>
    </row>
    <row r="34" spans="1:11" ht="15" x14ac:dyDescent="0.2">
      <c r="A34" s="98" t="s">
        <v>170</v>
      </c>
      <c r="B34" s="106" t="s">
        <v>148</v>
      </c>
      <c r="C34" s="114" t="s">
        <v>1</v>
      </c>
      <c r="D34" s="114" t="s">
        <v>1</v>
      </c>
      <c r="E34" s="116">
        <f>C_EGT_TRIM S_maxi_continu1</f>
        <v>0</v>
      </c>
      <c r="F34" s="116">
        <f>C_EGT_TRIM S_take_off1</f>
        <v>0</v>
      </c>
      <c r="G34" s="116">
        <f>C_EGT_TRIM S_maxi_continu2</f>
        <v>0</v>
      </c>
      <c r="H34" s="116">
        <f>C_EGT_TRIM S_take_off2</f>
        <v>0</v>
      </c>
      <c r="I34" s="114"/>
      <c r="J34" s="114" t="s">
        <v>1</v>
      </c>
    </row>
    <row r="35" spans="1:11" ht="15" x14ac:dyDescent="0.2">
      <c r="A35" s="98" t="s">
        <v>5</v>
      </c>
      <c r="B35" s="106" t="s">
        <v>148</v>
      </c>
      <c r="C35" s="114" t="s">
        <v>1</v>
      </c>
      <c r="D35" s="114" t="s">
        <v>1</v>
      </c>
      <c r="E35" s="116">
        <f>C_EGTHDM S_maxi_continu1</f>
        <v>0</v>
      </c>
      <c r="F35" s="116">
        <f>C_EGTHDM S_take_off1</f>
        <v>0</v>
      </c>
      <c r="G35" s="116">
        <f>C_EGTHDM S_maxi_continu2</f>
        <v>0</v>
      </c>
      <c r="H35" s="116">
        <f>C_EGTHDM S_take_off2</f>
        <v>0</v>
      </c>
      <c r="I35" s="114"/>
      <c r="J35" s="114" t="s">
        <v>1</v>
      </c>
    </row>
    <row r="36" spans="1:11" ht="15" x14ac:dyDescent="0.2">
      <c r="A36" s="98" t="s">
        <v>143</v>
      </c>
      <c r="B36" s="106" t="s">
        <v>148</v>
      </c>
      <c r="C36" s="114" t="s">
        <v>1</v>
      </c>
      <c r="D36" s="114" t="s">
        <v>1</v>
      </c>
      <c r="E36" s="116">
        <f>C_EGTHD_MARG S_maxi_continu1</f>
        <v>0</v>
      </c>
      <c r="F36" s="116">
        <f>C_EGTHD_MARG S_take_off1</f>
        <v>0</v>
      </c>
      <c r="G36" s="116">
        <f>C_EGTHD_MARG S_maxi_continu2</f>
        <v>0</v>
      </c>
      <c r="H36" s="116">
        <f>C_EGTHD_MARG S_take_off2</f>
        <v>0</v>
      </c>
      <c r="I36" s="114"/>
      <c r="J36" s="114" t="s">
        <v>1</v>
      </c>
    </row>
    <row r="37" spans="1:11" ht="15" x14ac:dyDescent="0.2">
      <c r="A37" s="98" t="s">
        <v>27</v>
      </c>
      <c r="B37" s="106" t="s">
        <v>26</v>
      </c>
      <c r="C37" s="132">
        <f>C_MOPK S_mini_idle</f>
        <v>0</v>
      </c>
      <c r="D37" s="132">
        <f>C_MOPK S_approach_idle</f>
        <v>0</v>
      </c>
      <c r="E37" s="132">
        <f>C_MOPK S_maxi_continu1</f>
        <v>0</v>
      </c>
      <c r="F37" s="132">
        <f>C_MOPK S_take_off1</f>
        <v>0</v>
      </c>
      <c r="G37" s="132">
        <f>C_MOPK S_maxi_continu2</f>
        <v>0</v>
      </c>
      <c r="H37" s="132">
        <f>C_MOPK S_take_off2</f>
        <v>0</v>
      </c>
      <c r="I37" s="38"/>
      <c r="J37" s="38">
        <f>C_MOPK S_Shut_D_oil_fuel</f>
        <v>0</v>
      </c>
    </row>
    <row r="38" spans="1:11" ht="15" x14ac:dyDescent="0.2">
      <c r="A38" s="98"/>
      <c r="B38" s="106"/>
      <c r="C38" s="132"/>
      <c r="D38" s="132"/>
      <c r="E38" s="38"/>
      <c r="F38" s="132"/>
      <c r="G38" s="132"/>
      <c r="H38" s="132"/>
      <c r="I38" s="38"/>
      <c r="J38" s="38"/>
    </row>
    <row r="39" spans="1:11" ht="15" x14ac:dyDescent="0.2">
      <c r="B39" s="18"/>
      <c r="C39" s="136"/>
      <c r="D39" s="136"/>
      <c r="E39" s="137"/>
      <c r="F39" s="136"/>
      <c r="G39" s="136"/>
      <c r="H39" s="136"/>
      <c r="I39" s="22" t="s">
        <v>168</v>
      </c>
      <c r="J39" s="22" t="s">
        <v>169</v>
      </c>
    </row>
    <row r="40" spans="1:11" ht="15" x14ac:dyDescent="0.2">
      <c r="A40" t="s">
        <v>210</v>
      </c>
      <c r="B40" s="122"/>
      <c r="C40" s="136"/>
      <c r="D40" s="136" t="s">
        <v>211</v>
      </c>
      <c r="E40" s="120">
        <f>C_tAcc1 S_Accel</f>
        <v>0</v>
      </c>
      <c r="F40" s="136" t="s">
        <v>188</v>
      </c>
      <c r="G40" s="136"/>
      <c r="H40" s="138" t="s">
        <v>308</v>
      </c>
      <c r="I40" s="121">
        <f>C_Vib1N1Pk S_pic_de_vib</f>
        <v>0</v>
      </c>
      <c r="J40" s="121">
        <f>C_Vib1N1PkD S_pic_de_vib</f>
        <v>0</v>
      </c>
      <c r="K40" s="37" t="s">
        <v>69</v>
      </c>
    </row>
    <row r="41" spans="1:11" ht="15" x14ac:dyDescent="0.2">
      <c r="B41" s="123"/>
      <c r="E41" s="10"/>
      <c r="F41" s="136"/>
      <c r="H41" s="37" t="s">
        <v>309</v>
      </c>
      <c r="I41" s="121">
        <f>C_Vib1N2Pk S_pic_de_vib</f>
        <v>0</v>
      </c>
      <c r="J41" s="121">
        <f>C_Vib1N2PkD S_pic_de_vib</f>
        <v>0</v>
      </c>
      <c r="K41" s="37" t="s">
        <v>312</v>
      </c>
    </row>
    <row r="42" spans="1:11" ht="15" x14ac:dyDescent="0.2">
      <c r="B42" s="123"/>
      <c r="E42" s="10"/>
      <c r="H42" s="37" t="s">
        <v>310</v>
      </c>
      <c r="I42" s="121">
        <f>C_Vib2N1Pk S_pic_de_vib</f>
        <v>0</v>
      </c>
      <c r="J42" s="121">
        <f>C_Vib2N1PkD S_pic_de_vib</f>
        <v>0</v>
      </c>
      <c r="K42" s="37" t="s">
        <v>69</v>
      </c>
    </row>
    <row r="43" spans="1:11" ht="15" x14ac:dyDescent="0.2">
      <c r="A43" t="s">
        <v>209</v>
      </c>
      <c r="B43" s="122"/>
      <c r="C43" t="s">
        <v>189</v>
      </c>
      <c r="D43" t="s">
        <v>144</v>
      </c>
      <c r="E43" s="39">
        <f>C_tRunning S_Shut_D_oil_fuel</f>
        <v>0</v>
      </c>
      <c r="F43" s="37" t="s">
        <v>218</v>
      </c>
      <c r="H43" s="37" t="s">
        <v>311</v>
      </c>
      <c r="I43" s="121">
        <f>C_Vib2N2Pk S_pic_de_vib</f>
        <v>0</v>
      </c>
      <c r="J43" s="121">
        <f>C_Vib2N2PkD S_pic_de_vib</f>
        <v>0</v>
      </c>
      <c r="K43" s="37" t="s">
        <v>312</v>
      </c>
    </row>
    <row r="44" spans="1:11" ht="15" x14ac:dyDescent="0.2">
      <c r="B44" s="123"/>
      <c r="E44" s="10"/>
    </row>
    <row r="45" spans="1:11" ht="15" x14ac:dyDescent="0.2">
      <c r="B45" s="123"/>
    </row>
    <row r="46" spans="1:11" ht="15" x14ac:dyDescent="0.2">
      <c r="A46" t="s">
        <v>212</v>
      </c>
      <c r="B46" s="122"/>
      <c r="E46" s="39"/>
      <c r="I46" s="17"/>
    </row>
    <row r="47" spans="1:11" ht="15" x14ac:dyDescent="0.2">
      <c r="B47" s="124"/>
      <c r="E47" s="39"/>
      <c r="I47" s="17"/>
    </row>
    <row r="48" spans="1:11" ht="15" x14ac:dyDescent="0.2">
      <c r="B48" s="18"/>
    </row>
    <row r="49" spans="1:11" ht="15" x14ac:dyDescent="0.2">
      <c r="A49" s="20" t="s">
        <v>216</v>
      </c>
      <c r="B49" s="95"/>
      <c r="C49" s="95"/>
      <c r="D49" s="20" t="s">
        <v>208</v>
      </c>
      <c r="E49" s="95"/>
      <c r="F49" s="96"/>
      <c r="G49" s="37"/>
      <c r="H49" s="97" t="s">
        <v>307</v>
      </c>
      <c r="I49" s="95"/>
      <c r="J49" s="95"/>
    </row>
    <row r="50" spans="1:11" s="104" customFormat="1" ht="15.75" x14ac:dyDescent="0.25">
      <c r="A50" s="129" t="s">
        <v>135</v>
      </c>
      <c r="B50" s="130" t="s">
        <v>136</v>
      </c>
      <c r="C50" s="131" t="s">
        <v>137</v>
      </c>
      <c r="D50" s="131" t="s">
        <v>138</v>
      </c>
      <c r="E50" s="131" t="s">
        <v>204</v>
      </c>
      <c r="F50" s="131" t="s">
        <v>205</v>
      </c>
      <c r="G50" s="131" t="s">
        <v>206</v>
      </c>
      <c r="H50" s="131" t="s">
        <v>207</v>
      </c>
      <c r="I50" s="131"/>
      <c r="J50" s="131" t="s">
        <v>139</v>
      </c>
    </row>
    <row r="51" spans="1:11" s="104" customFormat="1" ht="15.75" x14ac:dyDescent="0.25">
      <c r="A51" s="129"/>
      <c r="B51" s="130"/>
      <c r="C51" s="131"/>
      <c r="D51" s="131"/>
      <c r="E51" s="131"/>
      <c r="F51" s="131"/>
      <c r="G51" s="131"/>
      <c r="H51" s="131"/>
      <c r="I51" s="131"/>
      <c r="J51" s="131"/>
    </row>
    <row r="52" spans="1:11" ht="14.25" x14ac:dyDescent="0.2">
      <c r="A52" s="104" t="s">
        <v>132</v>
      </c>
      <c r="B52" s="128"/>
      <c r="C52" s="107" t="str">
        <f t="shared" ref="C52:J52" si="0">H_TEST_NAME</f>
        <v>19-8053</v>
      </c>
      <c r="D52" s="107" t="str">
        <f t="shared" si="0"/>
        <v>19-8053</v>
      </c>
      <c r="E52" s="107" t="str">
        <f t="shared" si="0"/>
        <v>19-8053</v>
      </c>
      <c r="F52" s="107" t="str">
        <f t="shared" si="0"/>
        <v>19-8053</v>
      </c>
      <c r="G52" s="107" t="str">
        <f t="shared" si="0"/>
        <v>19-8053</v>
      </c>
      <c r="H52" s="107" t="str">
        <f t="shared" si="0"/>
        <v>19-8053</v>
      </c>
      <c r="I52" s="107"/>
      <c r="J52" s="107" t="str">
        <f t="shared" si="0"/>
        <v>19-8053</v>
      </c>
    </row>
    <row r="53" spans="1:11" ht="14.25" x14ac:dyDescent="0.2">
      <c r="A53" s="104" t="s">
        <v>127</v>
      </c>
      <c r="B53" s="128"/>
      <c r="C53" s="104">
        <f t="shared" ref="C53:J53" si="1">H_ENGINE_SERIAL_NO</f>
        <v>575499</v>
      </c>
      <c r="D53" s="104">
        <f t="shared" si="1"/>
        <v>575499</v>
      </c>
      <c r="E53" s="104">
        <f t="shared" si="1"/>
        <v>575499</v>
      </c>
      <c r="F53" s="104">
        <f t="shared" si="1"/>
        <v>575499</v>
      </c>
      <c r="G53" s="104">
        <f t="shared" si="1"/>
        <v>575499</v>
      </c>
      <c r="H53" s="104">
        <f t="shared" si="1"/>
        <v>575499</v>
      </c>
      <c r="I53" s="104"/>
      <c r="J53" s="104">
        <f t="shared" si="1"/>
        <v>575499</v>
      </c>
    </row>
    <row r="54" spans="1:11" ht="14.25" x14ac:dyDescent="0.2">
      <c r="A54" s="104" t="s">
        <v>131</v>
      </c>
      <c r="B54" s="128" t="s">
        <v>150</v>
      </c>
      <c r="C54" s="107">
        <f xml:space="preserve"> VLOOKUP(C_Engine_Rating S_mini_idle,enum_list!$A$2:$F$102,3,1)</f>
        <v>0</v>
      </c>
      <c r="D54" s="107">
        <f xml:space="preserve"> VLOOKUP(C_Engine_Rating S_approach_idle,enum_list!$A$2:$F$102,3,1)</f>
        <v>0</v>
      </c>
      <c r="E54" s="107">
        <f xml:space="preserve"> VLOOKUP(C_Engine_Rating S_maxi_continu1,enum_list!$A$2:$F$102,3,1)</f>
        <v>0</v>
      </c>
      <c r="F54" s="107">
        <f xml:space="preserve"> VLOOKUP(C_Engine_Rating S_take_off1,enum_list!$A$2:$F$102,3,1)</f>
        <v>0</v>
      </c>
      <c r="G54" s="107">
        <f xml:space="preserve"> VLOOKUP(C_Engine_Rating S_maxi_continu2,enum_list!$A$2:$F$102,3,1)</f>
        <v>0</v>
      </c>
      <c r="H54" s="107">
        <f xml:space="preserve"> VLOOKUP(C_Engine_Rating S_take_off2,enum_list!$A$2:$F$102,3,1)</f>
        <v>0</v>
      </c>
      <c r="I54" s="107"/>
      <c r="J54" s="107">
        <f xml:space="preserve"> VLOOKUP(C_Engine_Rating  S_Shut_D_oil_fuel,enum_list!$A$2:F102,3,1)</f>
        <v>0</v>
      </c>
    </row>
    <row r="55" spans="1:11" ht="15" x14ac:dyDescent="0.2">
      <c r="A55" s="37"/>
      <c r="B55" s="11"/>
      <c r="C55" s="97"/>
      <c r="D55" s="97"/>
      <c r="E55" s="97"/>
      <c r="F55" s="97"/>
      <c r="G55" s="97"/>
      <c r="H55" s="97"/>
      <c r="I55" s="97"/>
      <c r="J55" s="97"/>
    </row>
    <row r="56" spans="1:11" ht="14.25" x14ac:dyDescent="0.2">
      <c r="A56" s="98" t="s">
        <v>146</v>
      </c>
      <c r="B56" s="106" t="s">
        <v>3</v>
      </c>
      <c r="C56" s="125">
        <f>C_RHUM S_mini_idle</f>
        <v>0</v>
      </c>
      <c r="D56" s="125">
        <f>C_RHUM S_approach_idle</f>
        <v>0</v>
      </c>
      <c r="E56" s="125">
        <f>C_RHUM S_maxi_continu1</f>
        <v>0</v>
      </c>
      <c r="F56" s="125">
        <f>C_RHUM S_take_off1</f>
        <v>0</v>
      </c>
      <c r="G56" s="125">
        <f>C_RHUM S_maxi_continu2</f>
        <v>0</v>
      </c>
      <c r="H56" s="125">
        <f>C_RHUM S_take_off2</f>
        <v>0</v>
      </c>
      <c r="I56" s="125"/>
      <c r="J56" s="125">
        <f>C_RHUM S_Shut_D_oil_fuel</f>
        <v>0</v>
      </c>
      <c r="K56" s="97"/>
    </row>
    <row r="57" spans="1:11" ht="14.25" x14ac:dyDescent="0.2">
      <c r="A57" s="98" t="s">
        <v>162</v>
      </c>
      <c r="B57" s="106"/>
      <c r="C57" s="125">
        <f>C_RHRear S_mini_idle</f>
        <v>0</v>
      </c>
      <c r="D57" s="125">
        <f>C_RHRear S_approach_idle</f>
        <v>0</v>
      </c>
      <c r="E57" s="125">
        <f>C_RHRear S_maxi_continu1</f>
        <v>0</v>
      </c>
      <c r="F57" s="125">
        <f>C_RHRear S_take_off1</f>
        <v>0</v>
      </c>
      <c r="G57" s="125">
        <f>C_RHRear S_maxi_continu2</f>
        <v>0</v>
      </c>
      <c r="H57" s="125">
        <f>C_RHRear S_take_off2</f>
        <v>0</v>
      </c>
      <c r="I57" s="125"/>
      <c r="J57" s="125">
        <f>C_RHRear S_Shut_D_oil_fuel</f>
        <v>0</v>
      </c>
      <c r="K57" s="97"/>
    </row>
    <row r="58" spans="1:11" ht="14.25" x14ac:dyDescent="0.2">
      <c r="A58" s="98" t="s">
        <v>145</v>
      </c>
      <c r="B58" s="106" t="s">
        <v>151</v>
      </c>
      <c r="C58" s="125" t="e">
        <f>_xlfn.SINGLE(C_HUM S_mini_idle)</f>
        <v>#REF!</v>
      </c>
      <c r="D58" s="125" t="e">
        <f>_xlfn.SINGLE(C_HUM S_approach_idle)</f>
        <v>#REF!</v>
      </c>
      <c r="E58" s="125" t="e">
        <f>_xlfn.SINGLE(C_HUM S_maxi_continu1)</f>
        <v>#REF!</v>
      </c>
      <c r="F58" s="125" t="e">
        <f>_xlfn.SINGLE(C_HUM S_take_off1)</f>
        <v>#REF!</v>
      </c>
      <c r="G58" s="125" t="e">
        <f>_xlfn.SINGLE(C_HUM S_maxi_continu2)</f>
        <v>#REF!</v>
      </c>
      <c r="H58" s="125" t="e">
        <f>_xlfn.SINGLE(C_HUM S_take_off2)</f>
        <v>#REF!</v>
      </c>
      <c r="I58" s="125"/>
      <c r="J58" s="125" t="e">
        <f>_xlfn.SINGLE(C_HUM S_Shut_D_oil_fuel)</f>
        <v>#REF!</v>
      </c>
      <c r="K58" s="97"/>
    </row>
    <row r="59" spans="1:11" ht="14.25" x14ac:dyDescent="0.2">
      <c r="A59" s="98" t="s">
        <v>223</v>
      </c>
      <c r="B59" s="106" t="s">
        <v>224</v>
      </c>
      <c r="C59" s="125">
        <f>C_SGFuel_ S_mini_idle</f>
        <v>0</v>
      </c>
      <c r="D59" s="125">
        <f>C_SGFuel_ S_approach_idle</f>
        <v>0</v>
      </c>
      <c r="E59" s="125">
        <f>C_SGFuel_ S_maxi_continu1</f>
        <v>0</v>
      </c>
      <c r="F59" s="125">
        <f>C_SGFuel_ S_take_off1</f>
        <v>0</v>
      </c>
      <c r="G59" s="125">
        <f>C_SGFuel_ S_maxi_continu2</f>
        <v>0</v>
      </c>
      <c r="H59" s="125">
        <f>C_SGFuel_ S_take_off2</f>
        <v>0</v>
      </c>
      <c r="I59" s="125"/>
      <c r="J59" s="125">
        <f>C_SGFuel_ S_Shut_D_oil_fuel</f>
        <v>0</v>
      </c>
      <c r="K59" s="97"/>
    </row>
    <row r="60" spans="1:11" ht="14.25" x14ac:dyDescent="0.2">
      <c r="A60" s="98" t="s">
        <v>29</v>
      </c>
      <c r="B60" s="106" t="s">
        <v>30</v>
      </c>
      <c r="C60" s="99">
        <f>C_N1 S_mini_idle</f>
        <v>0</v>
      </c>
      <c r="D60" s="99">
        <f>C_N1 S_approach_idle</f>
        <v>0</v>
      </c>
      <c r="E60" s="99">
        <f>C_N1 S_maxi_continu1</f>
        <v>0</v>
      </c>
      <c r="F60" s="99">
        <f>C_N1 S_take_off1</f>
        <v>0</v>
      </c>
      <c r="G60" s="99">
        <f>C_N1 S_maxi_continu2</f>
        <v>0</v>
      </c>
      <c r="H60" s="99">
        <f>C_N1 S_take_off2</f>
        <v>0</v>
      </c>
      <c r="I60" s="99"/>
      <c r="J60" s="99">
        <f>C_N1 S_Shut_D_oil_fuel</f>
        <v>0</v>
      </c>
      <c r="K60" s="97"/>
    </row>
    <row r="61" spans="1:11" ht="14.25" x14ac:dyDescent="0.2">
      <c r="A61" s="98" t="s">
        <v>33</v>
      </c>
      <c r="B61" s="106" t="s">
        <v>30</v>
      </c>
      <c r="C61" s="99">
        <f>C_N2 S_mini_idle</f>
        <v>0</v>
      </c>
      <c r="D61" s="99">
        <f>C_N2 S_approach_idle</f>
        <v>0</v>
      </c>
      <c r="E61" s="99">
        <f>C_N2 S_maxi_continu1</f>
        <v>0</v>
      </c>
      <c r="F61" s="99">
        <f>C_N2 S_take_off1</f>
        <v>0</v>
      </c>
      <c r="G61" s="99">
        <f>C_N2 S_maxi_continu2</f>
        <v>0</v>
      </c>
      <c r="H61" s="99">
        <f>C_N2 S_take_off2</f>
        <v>0</v>
      </c>
      <c r="I61" s="99"/>
      <c r="J61" s="99">
        <f>C_N2 S_Shut_D_oil_fuel</f>
        <v>0</v>
      </c>
      <c r="K61" s="97"/>
    </row>
    <row r="62" spans="1:11" ht="14.25" x14ac:dyDescent="0.2">
      <c r="A62" s="98" t="s">
        <v>152</v>
      </c>
      <c r="B62" s="106" t="s">
        <v>14</v>
      </c>
      <c r="C62" s="99">
        <f>C_FNnet S_mini_idle</f>
        <v>0</v>
      </c>
      <c r="D62" s="99">
        <f>C_FNnet S_approach_idle</f>
        <v>0</v>
      </c>
      <c r="E62" s="99">
        <f>C_FNnet S_maxi_continu1</f>
        <v>0</v>
      </c>
      <c r="F62" s="99">
        <f>C_FNnet S_take_off1</f>
        <v>0</v>
      </c>
      <c r="G62" s="99">
        <f>C_FNnet S_maxi_continu2</f>
        <v>0</v>
      </c>
      <c r="H62" s="99">
        <f>C_FNnet S_take_off2</f>
        <v>0</v>
      </c>
      <c r="I62" s="99"/>
      <c r="J62" s="99">
        <f>C_FNnet S_Shut_D_oil_fuel</f>
        <v>0</v>
      </c>
      <c r="K62" s="97"/>
    </row>
    <row r="63" spans="1:11" ht="14.25" x14ac:dyDescent="0.2">
      <c r="A63" s="98" t="s">
        <v>13</v>
      </c>
      <c r="B63" s="106" t="s">
        <v>14</v>
      </c>
      <c r="C63" s="99">
        <f>C_FnCorrTC1Avg S_mini_idle</f>
        <v>0</v>
      </c>
      <c r="D63" s="99">
        <f>C_FnCorrTC1Avg S_approach_idle</f>
        <v>0</v>
      </c>
      <c r="E63" s="99">
        <f>C_FnCorrTC1Avg S_maxi_continu1</f>
        <v>0</v>
      </c>
      <c r="F63" s="99">
        <f>C_FnCorrTC1Avg S_take_off1</f>
        <v>0</v>
      </c>
      <c r="G63" s="99">
        <f>C_FnCorrTC1Avg S_maxi_continu2</f>
        <v>0</v>
      </c>
      <c r="H63" s="99">
        <f>C_FnCorrTC1Avg S_take_off2</f>
        <v>0</v>
      </c>
      <c r="I63" s="99"/>
      <c r="J63" s="99">
        <f>C_FnCorrTC1Avg S_Shut_D_oil_fuel</f>
        <v>0</v>
      </c>
      <c r="K63" s="97"/>
    </row>
    <row r="64" spans="1:11" ht="14.25" x14ac:dyDescent="0.2">
      <c r="A64" s="98" t="s">
        <v>15</v>
      </c>
      <c r="B64" s="106" t="s">
        <v>14</v>
      </c>
      <c r="C64" s="99">
        <f>C_FnCorrTC2Avg S_mini_idle</f>
        <v>0</v>
      </c>
      <c r="D64" s="99">
        <f>C_FnCorrTC2Avg S_approach_idle</f>
        <v>0</v>
      </c>
      <c r="E64" s="99">
        <f>C_FnCorrTC2Avg S_maxi_continu1</f>
        <v>0</v>
      </c>
      <c r="F64" s="99">
        <f>C_FnCorrTC2Avg S_take_off1</f>
        <v>0</v>
      </c>
      <c r="G64" s="99">
        <f>C_FnCorrTC2Avg S_maxi_continu2</f>
        <v>0</v>
      </c>
      <c r="H64" s="99">
        <f>C_FnCorrTC2Avg S_take_off2</f>
        <v>0</v>
      </c>
      <c r="I64" s="99"/>
      <c r="J64" s="99">
        <f>C_FnCorrTC2Avg S_Shut_D_oil_fuel</f>
        <v>0</v>
      </c>
      <c r="K64" s="97"/>
    </row>
    <row r="65" spans="1:11" ht="14.25" x14ac:dyDescent="0.2">
      <c r="A65" s="98" t="s">
        <v>75</v>
      </c>
      <c r="B65" s="106" t="s">
        <v>76</v>
      </c>
      <c r="C65" s="99">
        <f>C_WF1 S_mini_idle</f>
        <v>0</v>
      </c>
      <c r="D65" s="99">
        <f>C_WF1 S_approach_idle</f>
        <v>0</v>
      </c>
      <c r="E65" s="99">
        <f>C_WF1 S_maxi_continu1</f>
        <v>0</v>
      </c>
      <c r="F65" s="99">
        <f>C_WF1 S_take_off1</f>
        <v>0</v>
      </c>
      <c r="G65" s="99">
        <f>C_WF1 S_maxi_continu2</f>
        <v>0</v>
      </c>
      <c r="H65" s="99">
        <f>C_WF1 S_take_off2</f>
        <v>0</v>
      </c>
      <c r="I65" s="99"/>
      <c r="J65" s="99">
        <f>C_WF1 S_Shut_D_oil_fuel</f>
        <v>0</v>
      </c>
      <c r="K65" s="97"/>
    </row>
    <row r="66" spans="1:11" ht="14.25" x14ac:dyDescent="0.2">
      <c r="A66" s="98" t="s">
        <v>153</v>
      </c>
      <c r="B66" s="106" t="s">
        <v>65</v>
      </c>
      <c r="C66" s="125">
        <f>C_VSV_SEL_A S_mini_idle</f>
        <v>0</v>
      </c>
      <c r="D66" s="125">
        <f>C_VSV_SEL_A S_approach_idle</f>
        <v>0</v>
      </c>
      <c r="E66" s="125">
        <f>C_VSV_SEL_A S_maxi_continu1</f>
        <v>0</v>
      </c>
      <c r="F66" s="125">
        <f>C_VSV_SEL_A S_take_off1</f>
        <v>0</v>
      </c>
      <c r="G66" s="125">
        <f>C_VSV_SEL_A S_maxi_continu2</f>
        <v>0</v>
      </c>
      <c r="H66" s="125">
        <f>C_VSV_SEL_A S_take_off2</f>
        <v>0</v>
      </c>
      <c r="I66" s="125"/>
      <c r="J66" s="125">
        <f>C_VSV_SEL_A S_Shut_D_oil_fuel</f>
        <v>0</v>
      </c>
      <c r="K66" s="97"/>
    </row>
    <row r="67" spans="1:11" ht="14.25" x14ac:dyDescent="0.2">
      <c r="A67" s="98" t="s">
        <v>154</v>
      </c>
      <c r="B67" s="106" t="s">
        <v>65</v>
      </c>
      <c r="C67" s="125">
        <f>C_VBV_SEL_A S_mini_idle</f>
        <v>0</v>
      </c>
      <c r="D67" s="125">
        <f>C_VBV_SEL_A S_approach_idle</f>
        <v>0</v>
      </c>
      <c r="E67" s="125">
        <f>C_VBV_SEL_A S_maxi_continu1</f>
        <v>0</v>
      </c>
      <c r="F67" s="125">
        <f>C_VBV_SEL_A S_take_off1</f>
        <v>0</v>
      </c>
      <c r="G67" s="125">
        <f>C_VBV_SEL_A S_maxi_continu2</f>
        <v>0</v>
      </c>
      <c r="H67" s="125">
        <f>C_VBV_SEL_A S_take_off2</f>
        <v>0</v>
      </c>
      <c r="I67" s="125"/>
      <c r="J67" s="125">
        <f>C_VBV_SEL_A S_Shut_D_oil_fuel</f>
        <v>0</v>
      </c>
      <c r="K67" s="97"/>
    </row>
    <row r="68" spans="1:11" ht="14.25" x14ac:dyDescent="0.2">
      <c r="A68" s="98" t="s">
        <v>68</v>
      </c>
      <c r="B68" s="106" t="s">
        <v>69</v>
      </c>
      <c r="C68" s="125">
        <f>C_VIBN1PAL S_mini_idle</f>
        <v>0</v>
      </c>
      <c r="D68" s="125">
        <f>C_VIBN1PAL S_approach_idle</f>
        <v>0</v>
      </c>
      <c r="E68" s="125">
        <f>C_VIBN1PAL S_maxi_continu1</f>
        <v>0</v>
      </c>
      <c r="F68" s="125">
        <f>C_VIBN1PAL S_take_off1</f>
        <v>0</v>
      </c>
      <c r="G68" s="125">
        <f>C_VIBN1PAL S_maxi_continu2</f>
        <v>0</v>
      </c>
      <c r="H68" s="125">
        <f>C_VIBN1PAL S_take_off2</f>
        <v>0</v>
      </c>
      <c r="I68" s="125"/>
      <c r="J68" s="125">
        <f>C_VIBN1PAL S_Shut_D_oil_fuel</f>
        <v>0</v>
      </c>
      <c r="K68" s="97"/>
    </row>
    <row r="69" spans="1:11" ht="14.25" x14ac:dyDescent="0.2">
      <c r="A69" s="98" t="s">
        <v>70</v>
      </c>
      <c r="B69" s="106" t="s">
        <v>69</v>
      </c>
      <c r="C69" s="125">
        <f>C_VIBN1TRF S_mini_idle</f>
        <v>0</v>
      </c>
      <c r="D69" s="125">
        <f>C_VIBN1TRF S_approach_idle</f>
        <v>0</v>
      </c>
      <c r="E69" s="125">
        <f>C_VIBN1TRF S_maxi_continu1</f>
        <v>0</v>
      </c>
      <c r="F69" s="125">
        <f>C_VIBN1TRF S_take_off1</f>
        <v>0</v>
      </c>
      <c r="G69" s="125">
        <f>C_VIBN1TRF S_maxi_continu2</f>
        <v>0</v>
      </c>
      <c r="H69" s="125">
        <f>C_VIBN1TRF S_take_off2</f>
        <v>0</v>
      </c>
      <c r="I69" s="125"/>
      <c r="J69" s="125">
        <f>C_VIBN1TRF S_Shut_D_oil_fuel</f>
        <v>0</v>
      </c>
      <c r="K69" s="97"/>
    </row>
    <row r="70" spans="1:11" ht="14.25" x14ac:dyDescent="0.2">
      <c r="A70" s="98" t="s">
        <v>71</v>
      </c>
      <c r="B70" s="106" t="s">
        <v>72</v>
      </c>
      <c r="C70" s="125">
        <f>C_VIBN2PAL S_mini_idle</f>
        <v>0</v>
      </c>
      <c r="D70" s="125">
        <f>C_VIBN2PAL S_approach_idle</f>
        <v>0</v>
      </c>
      <c r="E70" s="125">
        <f>C_VIBN2PAL S_maxi_continu1</f>
        <v>0</v>
      </c>
      <c r="F70" s="125">
        <f>C_VIBN2PAL S_take_off1</f>
        <v>0</v>
      </c>
      <c r="G70" s="125">
        <f>C_VIBN2PAL S_maxi_continu2</f>
        <v>0</v>
      </c>
      <c r="H70" s="125">
        <f>C_VIBN2PAL S_take_off2</f>
        <v>0</v>
      </c>
      <c r="I70" s="125"/>
      <c r="J70" s="125">
        <f>C_VIBN2PAL S_Shut_D_oil_fuel</f>
        <v>0</v>
      </c>
      <c r="K70" s="97"/>
    </row>
    <row r="71" spans="1:11" ht="14.25" x14ac:dyDescent="0.2">
      <c r="A71" s="98" t="s">
        <v>73</v>
      </c>
      <c r="B71" s="106" t="s">
        <v>72</v>
      </c>
      <c r="C71" s="125">
        <f>C_VIBN2TRF S_mini_idle</f>
        <v>0</v>
      </c>
      <c r="D71" s="125">
        <f>C_VIBN2TRF S_approach_idle</f>
        <v>0</v>
      </c>
      <c r="E71" s="125">
        <f>C_VIBN2TRF S_maxi_continu1</f>
        <v>0</v>
      </c>
      <c r="F71" s="125">
        <f>C_VIBN2TRF S_take_off1</f>
        <v>0</v>
      </c>
      <c r="G71" s="125">
        <f>C_VIBN2TRF S_maxi_continu2</f>
        <v>0</v>
      </c>
      <c r="H71" s="125">
        <f>C_VIBN2TRF S_take_off2</f>
        <v>0</v>
      </c>
      <c r="I71" s="125"/>
      <c r="J71" s="125">
        <f>C_VIBN2TRF S_Shut_D_oil_fuel</f>
        <v>0</v>
      </c>
      <c r="K71" s="97"/>
    </row>
    <row r="72" spans="1:11" ht="14.25" x14ac:dyDescent="0.2">
      <c r="A72" s="98" t="s">
        <v>155</v>
      </c>
      <c r="B72" s="106" t="s">
        <v>148</v>
      </c>
      <c r="C72" s="125">
        <f>C_TT2 S_mini_idle</f>
        <v>0</v>
      </c>
      <c r="D72" s="125">
        <f>C_TT2 S_approach_idle</f>
        <v>0</v>
      </c>
      <c r="E72" s="125">
        <f>C_TT2 S_maxi_continu1</f>
        <v>0</v>
      </c>
      <c r="F72" s="125">
        <f>C_TT2 S_take_off1</f>
        <v>0</v>
      </c>
      <c r="G72" s="125">
        <f>C_TT2 S_maxi_continu2</f>
        <v>0</v>
      </c>
      <c r="H72" s="125">
        <f>C_TT2 S_take_off2</f>
        <v>0</v>
      </c>
      <c r="I72" s="125"/>
      <c r="J72" s="125">
        <f>C_TT2 S_Shut_D_oil_fuel</f>
        <v>0</v>
      </c>
      <c r="K72" s="97"/>
    </row>
    <row r="73" spans="1:11" ht="14.25" x14ac:dyDescent="0.2">
      <c r="A73" s="98" t="s">
        <v>156</v>
      </c>
      <c r="B73" s="106" t="s">
        <v>148</v>
      </c>
      <c r="C73" s="125">
        <f>C_T25_SEL_A S_mini_idle</f>
        <v>0</v>
      </c>
      <c r="D73" s="125">
        <f>C_T25_SEL_A S_approach_idle</f>
        <v>0</v>
      </c>
      <c r="E73" s="125">
        <f>C_T25_SEL_A S_maxi_continu1</f>
        <v>0</v>
      </c>
      <c r="F73" s="125">
        <f>C_T25_SEL_A S_take_off1</f>
        <v>0</v>
      </c>
      <c r="G73" s="125">
        <f>C_T25_SEL_A S_maxi_continu2</f>
        <v>0</v>
      </c>
      <c r="H73" s="125">
        <f>C_T25_SEL_A S_take_off2</f>
        <v>0</v>
      </c>
      <c r="I73" s="125"/>
      <c r="J73" s="125">
        <f>C_T25_SEL_A S_Shut_D_oil_fuel</f>
        <v>0</v>
      </c>
      <c r="K73" s="97"/>
    </row>
    <row r="74" spans="1:11" ht="14.25" x14ac:dyDescent="0.2">
      <c r="A74" s="98" t="s">
        <v>157</v>
      </c>
      <c r="B74" s="106" t="s">
        <v>148</v>
      </c>
      <c r="C74" s="125">
        <f>C_T3_SEL_A S_mini_idle</f>
        <v>0</v>
      </c>
      <c r="D74" s="125">
        <f>C_T3_SEL_A S_approach_idle</f>
        <v>0</v>
      </c>
      <c r="E74" s="125">
        <f>C_T3_SEL_A S_maxi_continu1</f>
        <v>0</v>
      </c>
      <c r="F74" s="125">
        <f>C_T3_SEL_A S_take_off1</f>
        <v>0</v>
      </c>
      <c r="G74" s="125">
        <f>C_T3_SEL_A S_maxi_continu2</f>
        <v>0</v>
      </c>
      <c r="H74" s="125">
        <f>C_T3_SEL_A S_take_off2</f>
        <v>0</v>
      </c>
      <c r="I74" s="125"/>
      <c r="J74" s="125">
        <f>C_T3_SEL_A S_Shut_D_oil_fuel</f>
        <v>0</v>
      </c>
      <c r="K74" s="97"/>
    </row>
    <row r="75" spans="1:11" ht="14.25" x14ac:dyDescent="0.2">
      <c r="A75" s="98" t="s">
        <v>158</v>
      </c>
      <c r="B75" s="106" t="s">
        <v>148</v>
      </c>
      <c r="C75" s="125">
        <f>C_T495_SEL_A S_mini_idle</f>
        <v>0</v>
      </c>
      <c r="D75" s="125">
        <f>C_T495_SEL_A S_approach_idle</f>
        <v>0</v>
      </c>
      <c r="E75" s="125">
        <f>C_T495_SEL_A S_maxi_continu1</f>
        <v>0</v>
      </c>
      <c r="F75" s="125">
        <f>C_T495_SEL_A S_take_off1</f>
        <v>0</v>
      </c>
      <c r="G75" s="125">
        <f>C_T495_SEL_A S_maxi_continu2</f>
        <v>0</v>
      </c>
      <c r="H75" s="125">
        <f>C_T495_SEL_A S_take_off2</f>
        <v>0</v>
      </c>
      <c r="I75" s="125"/>
      <c r="J75" s="125">
        <f>C_T495_SEL_A S_Shut_D_oil_fuel</f>
        <v>0</v>
      </c>
      <c r="K75" s="97"/>
    </row>
    <row r="76" spans="1:11" ht="14.25" x14ac:dyDescent="0.2">
      <c r="A76" s="98" t="s">
        <v>122</v>
      </c>
      <c r="B76" s="106" t="s">
        <v>148</v>
      </c>
      <c r="C76" s="125" t="e">
        <f>_xlfn.SINGLE(IF(_xlfn.SINGLE(C_T54 S_mini_idle)&lt;_xlfn.SINGLE(C_T5_SEL_A S_mini_idle),"N/A",C_T54 S_mini_idle))</f>
        <v>#REF!</v>
      </c>
      <c r="D76" s="125" t="e">
        <f>_xlfn.SINGLE(IF(_xlfn.SINGLE(C_T54 S_approach_idle)&lt;_xlfn.SINGLE(C_T5_SEL_A S_approach_idle),"N/A",C_T54 S_approach_idle))</f>
        <v>#REF!</v>
      </c>
      <c r="E76" s="125" t="e">
        <f>_xlfn.SINGLE(IF(_xlfn.SINGLE(C_T54 S_maxi_continu1)&lt;_xlfn.SINGLE(C_T5_SEL_A S_maxi_continu1),"N/A",C_T54 S_maxi_continu1))</f>
        <v>#REF!</v>
      </c>
      <c r="F76" s="125" t="e">
        <f>_xlfn.SINGLE(IF(_xlfn.SINGLE(C_T54 S_take_off1)&lt;_xlfn.SINGLE(C_T5_SEL_A S_take_off1),"N/A",C_T54 S_take_off1))</f>
        <v>#REF!</v>
      </c>
      <c r="G76" s="125" t="e">
        <f>_xlfn.SINGLE(IF(_xlfn.SINGLE(C_T54 S_maxi_continu2)&lt;_xlfn.SINGLE(C_T5_SEL_A S_maxi_continu2),"N/A",C_T54 S_maxi_continu2))</f>
        <v>#REF!</v>
      </c>
      <c r="H76" s="125" t="e">
        <f>_xlfn.SINGLE(IF(_xlfn.SINGLE(C_T54 S_take_off2)&lt;_xlfn.SINGLE(C_T5_SEL_A S_take_off2),"N/A",C_T54 S_take_off2))</f>
        <v>#REF!</v>
      </c>
      <c r="I76" s="125"/>
      <c r="J76" s="125" t="e">
        <f>_xlfn.SINGLE(IF(_xlfn.SINGLE(C_T54 S_Shut_D_oil_fuel)&lt;_xlfn.SINGLE(C_T5_SEL_A S_Shut_D_oil_fuel),"N/A",C_T54 S_Shut_D_oil_fuel))</f>
        <v>#REF!</v>
      </c>
      <c r="K76" s="97"/>
    </row>
    <row r="77" spans="1:11" ht="14.25" x14ac:dyDescent="0.2">
      <c r="A77" s="98" t="s">
        <v>174</v>
      </c>
      <c r="B77" s="106" t="s">
        <v>148</v>
      </c>
      <c r="C77" s="125" t="e">
        <f>_xlfn.SINGLE(IF(_xlfn.SINGLE(C_T54 S_mini_idle)&lt;_xlfn.SINGLE(C_T5_SEL_A S_mini_idle),C_T5_SEL_A S_mini_idle,"N/A"))</f>
        <v>#REF!</v>
      </c>
      <c r="D77" s="125" t="e">
        <f>_xlfn.SINGLE(IF(_xlfn.SINGLE(C_T54 S_approach_idle)&lt;_xlfn.SINGLE(C_T5_SEL_A S_approach_idle),C_T5_SEL_A S_approach_idle,"N/A"))</f>
        <v>#REF!</v>
      </c>
      <c r="E77" s="125" t="e">
        <f>_xlfn.SINGLE(IF(_xlfn.SINGLE(C_T54 S_maxi_continu1)&lt;_xlfn.SINGLE(C_T5_SEL_A S_maxi_continu1),C_T5_SEL_A S_maxi_continu1,"N/A"))</f>
        <v>#REF!</v>
      </c>
      <c r="F77" s="125" t="e">
        <f>_xlfn.SINGLE(IF(_xlfn.SINGLE(C_T54 S_take_off1)&lt;_xlfn.SINGLE(C_T5_SEL_A S_take_off1),C_T5_SEL_A S_take_off1,"N/A"))</f>
        <v>#REF!</v>
      </c>
      <c r="G77" s="125" t="e">
        <f>_xlfn.SINGLE(IF(_xlfn.SINGLE(C_T54 S_maxi_continu2)&lt;_xlfn.SINGLE(C_T5_SEL_A S_maxi_continu2),C_T5_SEL_A S_maxi_continu2,"N/A"))</f>
        <v>#REF!</v>
      </c>
      <c r="H77" s="125" t="e">
        <f>_xlfn.SINGLE(IF(_xlfn.SINGLE(C_T54 S_take_off2)&lt;_xlfn.SINGLE(C_T5_SEL_A S_take_off2),C_T5_SEL_A S_take_off2,"N/A"))</f>
        <v>#REF!</v>
      </c>
      <c r="I77" s="125"/>
      <c r="J77" s="125" t="e">
        <f>_xlfn.SINGLE(IF(_xlfn.SINGLE(C_T54 S_Shut_D_oil_fuel)&lt;_xlfn.SINGLE(C_T5_SEL_A S_Shut_D_oil_fuel),C_T5_SEL_A S_Shut_D_oil_fuel,"N/A"))</f>
        <v>#REF!</v>
      </c>
      <c r="K77" s="97"/>
    </row>
    <row r="78" spans="1:11" ht="14.25" x14ac:dyDescent="0.2">
      <c r="A78" s="98" t="s">
        <v>28</v>
      </c>
      <c r="B78" s="106" t="s">
        <v>148</v>
      </c>
      <c r="C78" s="125">
        <f>C_MOT S_mini_idle</f>
        <v>0</v>
      </c>
      <c r="D78" s="125">
        <f>C_MOT S_approach_idle</f>
        <v>0</v>
      </c>
      <c r="E78" s="125">
        <f>C_MOT S_maxi_continu1</f>
        <v>0</v>
      </c>
      <c r="F78" s="125">
        <f>C_MOT S_take_off1</f>
        <v>0</v>
      </c>
      <c r="G78" s="125">
        <f>C_MOT S_maxi_continu2</f>
        <v>0</v>
      </c>
      <c r="H78" s="125">
        <f>C_MOT S_take_off2</f>
        <v>0</v>
      </c>
      <c r="I78" s="125"/>
      <c r="J78" s="125">
        <f>C_MOT S_Shut_D_oil_fuel</f>
        <v>0</v>
      </c>
      <c r="K78" s="97"/>
    </row>
    <row r="79" spans="1:11" ht="14.25" x14ac:dyDescent="0.2">
      <c r="A79" s="98" t="s">
        <v>159</v>
      </c>
      <c r="B79" s="106" t="s">
        <v>148</v>
      </c>
      <c r="C79" s="125">
        <f>C_T_Soil S_mini_idle</f>
        <v>0</v>
      </c>
      <c r="D79" s="125">
        <f>C_T_Soil S_approach_idle</f>
        <v>0</v>
      </c>
      <c r="E79" s="125">
        <f>C_T_Soil S_maxi_continu1</f>
        <v>0</v>
      </c>
      <c r="F79" s="125">
        <f>C_T_Soil S_take_off1</f>
        <v>0</v>
      </c>
      <c r="G79" s="125">
        <f>C_T_Soil S_maxi_continu2</f>
        <v>0</v>
      </c>
      <c r="H79" s="125">
        <f>C_T_Soil S_take_off2</f>
        <v>0</v>
      </c>
      <c r="I79" s="125"/>
      <c r="J79" s="125">
        <f>C_T_Soil S_Shut_D_oil_fuel</f>
        <v>0</v>
      </c>
      <c r="K79" s="97"/>
    </row>
    <row r="80" spans="1:11" ht="14.25" x14ac:dyDescent="0.2">
      <c r="A80" s="98" t="s">
        <v>225</v>
      </c>
      <c r="B80" s="106" t="s">
        <v>148</v>
      </c>
      <c r="C80" s="125">
        <f>C_T_Fuel_Fac S_mini_idle</f>
        <v>0</v>
      </c>
      <c r="D80" s="125">
        <f>C_T_Fuel_Fac S_approach_idle</f>
        <v>0</v>
      </c>
      <c r="E80" s="125">
        <f>C_T_Fuel_Fac S_maxi_continu1</f>
        <v>0</v>
      </c>
      <c r="F80" s="125">
        <f>C_T_Fuel_Fac S_take_off1</f>
        <v>0</v>
      </c>
      <c r="G80" s="125">
        <f>C_T_Fuel_Fac S_maxi_continu2</f>
        <v>0</v>
      </c>
      <c r="H80" s="125">
        <f>C_T_Fuel_Fac S_take_off2</f>
        <v>0</v>
      </c>
      <c r="I80" s="125"/>
      <c r="J80" s="125">
        <f>C_T_Fuel_Fac S_Shut_D_oil_fuel</f>
        <v>0</v>
      </c>
      <c r="K80" s="97"/>
    </row>
    <row r="81" spans="1:246" ht="14.25" x14ac:dyDescent="0.2">
      <c r="A81" s="98" t="s">
        <v>160</v>
      </c>
      <c r="B81" s="106" t="s">
        <v>148</v>
      </c>
      <c r="C81" s="125">
        <f>C_T_FWD_ADAPT S_mini_idle</f>
        <v>0</v>
      </c>
      <c r="D81" s="125">
        <f>C_T_FWD_ADAPT S_approach_idle</f>
        <v>0</v>
      </c>
      <c r="E81" s="125">
        <f>C_T_FWD_ADAPT S_maxi_continu1</f>
        <v>0</v>
      </c>
      <c r="F81" s="125">
        <f>C_T_FWD_ADAPT S_take_off1</f>
        <v>0</v>
      </c>
      <c r="G81" s="125">
        <f>C_T_FWD_ADAPT S_maxi_continu2</f>
        <v>0</v>
      </c>
      <c r="H81" s="125">
        <f>C_T_FWD_ADAPT S_take_off2</f>
        <v>0</v>
      </c>
      <c r="I81" s="125"/>
      <c r="J81" s="125">
        <f>C_T_FWD_ADAPT S_Shut_D_oil_fuel</f>
        <v>0</v>
      </c>
      <c r="K81" s="97"/>
    </row>
    <row r="82" spans="1:246" ht="14.25" x14ac:dyDescent="0.2">
      <c r="A82" s="98" t="s">
        <v>161</v>
      </c>
      <c r="B82" s="106" t="s">
        <v>148</v>
      </c>
      <c r="C82" s="125">
        <f>C_T_AFT_ADAPT S_mini_idle</f>
        <v>0</v>
      </c>
      <c r="D82" s="125">
        <f>C_T_AFT_ADAPT S_approach_idle</f>
        <v>0</v>
      </c>
      <c r="E82" s="125">
        <f>C_T_AFT_ADAPT S_maxi_continu1</f>
        <v>0</v>
      </c>
      <c r="F82" s="125">
        <f>C_T_AFT_ADAPT S_take_off1</f>
        <v>0</v>
      </c>
      <c r="G82" s="125">
        <f>C_T_AFT_ADAPT S_maxi_continu2</f>
        <v>0</v>
      </c>
      <c r="H82" s="125">
        <f>C_T_AFT_ADAPT S_take_off2</f>
        <v>0</v>
      </c>
      <c r="I82" s="125"/>
      <c r="J82" s="125">
        <f>C_T_AFT_ADAPT S_Shut_D_oil_fuel</f>
        <v>0</v>
      </c>
      <c r="K82" s="97"/>
    </row>
    <row r="83" spans="1:246" ht="15" x14ac:dyDescent="0.2">
      <c r="A83" s="98" t="s">
        <v>46</v>
      </c>
      <c r="B83" s="106" t="s">
        <v>40</v>
      </c>
      <c r="C83" s="126">
        <f>C_PAMB1 S_mini_idle</f>
        <v>0</v>
      </c>
      <c r="D83" s="126">
        <f>C_PAMB1 S_approach_idle</f>
        <v>0</v>
      </c>
      <c r="E83" s="126">
        <f>C_PAMB1 S_maxi_continu1</f>
        <v>0</v>
      </c>
      <c r="F83" s="126">
        <f>C_PAMB1 S_take_off1</f>
        <v>0</v>
      </c>
      <c r="G83" s="126">
        <f>C_PAMB1 S_maxi_continu2</f>
        <v>0</v>
      </c>
      <c r="H83" s="126">
        <f>C_PAMB1 S_take_off2</f>
        <v>0</v>
      </c>
      <c r="I83" s="126"/>
      <c r="J83" s="126">
        <f>C_PAMB1 S_Shut_D_oil_fuel</f>
        <v>0</v>
      </c>
      <c r="K83" s="105"/>
      <c r="L83" s="18"/>
      <c r="M83" s="15"/>
      <c r="N83" s="15"/>
      <c r="O83" s="15"/>
      <c r="P83" s="15"/>
      <c r="Q83" s="15"/>
      <c r="R83" s="15"/>
      <c r="S83" s="15"/>
      <c r="T83" s="15"/>
      <c r="U83" s="16"/>
      <c r="V83" s="18"/>
      <c r="W83" s="15"/>
      <c r="X83" s="15"/>
      <c r="Y83" s="15"/>
      <c r="Z83" s="15"/>
      <c r="AA83" s="15"/>
      <c r="AB83" s="15"/>
      <c r="AC83" s="15"/>
      <c r="AD83" s="15"/>
      <c r="AE83" s="16"/>
      <c r="AF83" s="18"/>
      <c r="AG83" s="15"/>
      <c r="AH83" s="15"/>
      <c r="AI83" s="15"/>
      <c r="AJ83" s="15"/>
      <c r="AK83" s="15"/>
      <c r="AL83" s="15"/>
      <c r="AM83" s="15"/>
      <c r="AN83" s="15"/>
      <c r="AO83" s="16"/>
      <c r="AP83" s="18"/>
      <c r="AQ83" s="15"/>
      <c r="AR83" s="15"/>
      <c r="AS83" s="15"/>
      <c r="AT83" s="15"/>
      <c r="AU83" s="15"/>
      <c r="AV83" s="15"/>
      <c r="AW83" s="15"/>
      <c r="AX83" s="15"/>
      <c r="AY83" s="16"/>
      <c r="AZ83" s="18"/>
      <c r="BA83" s="15"/>
      <c r="BB83" s="15"/>
      <c r="BC83" s="15"/>
      <c r="BD83" s="15"/>
      <c r="BE83" s="15"/>
      <c r="BF83" s="15"/>
      <c r="BG83" s="15"/>
      <c r="BH83" s="15"/>
      <c r="BI83" s="16"/>
      <c r="BJ83" s="18"/>
      <c r="BK83" s="15"/>
      <c r="BL83" s="15"/>
      <c r="BM83" s="15"/>
      <c r="BN83" s="15"/>
      <c r="BO83" s="15"/>
      <c r="BP83" s="15"/>
      <c r="BQ83" s="15"/>
      <c r="BR83" s="15"/>
      <c r="BS83" s="16"/>
      <c r="BT83" s="18"/>
      <c r="BU83" s="15"/>
      <c r="BV83" s="15"/>
      <c r="BW83" s="15"/>
      <c r="BX83" s="15"/>
      <c r="BY83" s="15"/>
      <c r="BZ83" s="15"/>
      <c r="CA83" s="15"/>
      <c r="CB83" s="15"/>
      <c r="CC83" s="16"/>
      <c r="CD83" s="18"/>
      <c r="CE83" s="15"/>
      <c r="CF83" s="15"/>
      <c r="CG83" s="15"/>
      <c r="CH83" s="15"/>
      <c r="CI83" s="15"/>
      <c r="CJ83" s="15"/>
      <c r="CK83" s="15"/>
      <c r="CL83" s="15"/>
      <c r="CM83" s="16"/>
      <c r="CN83" s="18"/>
      <c r="CO83" s="15"/>
      <c r="CP83" s="15"/>
      <c r="CQ83" s="15"/>
      <c r="CR83" s="15"/>
      <c r="CS83" s="15"/>
      <c r="CT83" s="15"/>
      <c r="CU83" s="15"/>
      <c r="CV83" s="15"/>
      <c r="CW83" s="16"/>
      <c r="CX83" s="18"/>
      <c r="CY83" s="15"/>
      <c r="CZ83" s="15"/>
      <c r="DA83" s="15"/>
      <c r="DB83" s="15"/>
      <c r="DC83" s="15"/>
      <c r="DD83" s="15"/>
      <c r="DE83" s="15"/>
      <c r="DF83" s="15"/>
      <c r="DG83" s="16"/>
      <c r="DH83" s="18"/>
      <c r="DI83" s="15"/>
      <c r="DJ83" s="15"/>
      <c r="DK83" s="15"/>
      <c r="DL83" s="15"/>
      <c r="DM83" s="15"/>
      <c r="DN83" s="15"/>
      <c r="DO83" s="15"/>
      <c r="DP83" s="15"/>
      <c r="DQ83" s="16"/>
      <c r="DR83" s="18"/>
      <c r="DS83" s="15"/>
      <c r="DT83" s="15"/>
      <c r="DU83" s="15"/>
      <c r="DV83" s="15"/>
      <c r="DW83" s="15"/>
      <c r="DX83" s="15"/>
      <c r="DY83" s="15"/>
      <c r="DZ83" s="15"/>
      <c r="EA83" s="16"/>
      <c r="EB83" s="18"/>
      <c r="EC83" s="15"/>
      <c r="ED83" s="15"/>
      <c r="EE83" s="15"/>
      <c r="EF83" s="15"/>
      <c r="EG83" s="15"/>
      <c r="EH83" s="15"/>
      <c r="EI83" s="15"/>
      <c r="EJ83" s="15"/>
      <c r="EK83" s="16"/>
      <c r="EL83" s="18"/>
      <c r="EM83" s="15"/>
      <c r="EN83" s="15"/>
      <c r="EO83" s="15"/>
      <c r="EP83" s="15"/>
      <c r="EQ83" s="15"/>
      <c r="ER83" s="15"/>
      <c r="ES83" s="15"/>
      <c r="ET83" s="15"/>
      <c r="EU83" s="16"/>
      <c r="EV83" s="18"/>
      <c r="EW83" s="15"/>
      <c r="EX83" s="15"/>
      <c r="EY83" s="15"/>
      <c r="EZ83" s="15"/>
      <c r="FA83" s="15"/>
      <c r="FB83" s="15"/>
      <c r="FC83" s="15"/>
      <c r="FD83" s="15"/>
      <c r="FE83" s="16"/>
      <c r="FF83" s="18"/>
      <c r="FG83" s="15"/>
      <c r="FH83" s="15"/>
      <c r="FI83" s="15"/>
      <c r="FJ83" s="15"/>
      <c r="FK83" s="15"/>
      <c r="FL83" s="15"/>
      <c r="FM83" s="15"/>
      <c r="FN83" s="15"/>
      <c r="FO83" s="16"/>
      <c r="FP83" s="18"/>
      <c r="FQ83" s="15"/>
      <c r="FR83" s="15"/>
      <c r="FS83" s="15"/>
      <c r="FT83" s="15"/>
      <c r="FU83" s="15"/>
      <c r="FV83" s="15"/>
      <c r="FW83" s="15"/>
      <c r="FX83" s="15"/>
      <c r="FY83" s="16"/>
      <c r="FZ83" s="18"/>
      <c r="GA83" s="15"/>
      <c r="GB83" s="15"/>
      <c r="GC83" s="15"/>
      <c r="GD83" s="15"/>
      <c r="GE83" s="15"/>
      <c r="GF83" s="15"/>
      <c r="GG83" s="15"/>
      <c r="GH83" s="15"/>
      <c r="GI83" s="16"/>
      <c r="GJ83" s="18"/>
      <c r="GK83" s="15"/>
      <c r="GL83" s="15"/>
      <c r="GM83" s="15"/>
      <c r="GN83" s="15"/>
      <c r="GO83" s="15"/>
      <c r="GP83" s="15"/>
      <c r="GQ83" s="15"/>
      <c r="GR83" s="15"/>
      <c r="GS83" s="16"/>
      <c r="GT83" s="18"/>
      <c r="GU83" s="15"/>
      <c r="GV83" s="15"/>
      <c r="GW83" s="15"/>
      <c r="GX83" s="15"/>
      <c r="GY83" s="15"/>
      <c r="GZ83" s="15"/>
      <c r="HA83" s="15"/>
      <c r="HB83" s="15"/>
      <c r="HC83" s="16"/>
      <c r="HD83" s="18"/>
      <c r="HE83" s="15"/>
      <c r="HF83" s="15"/>
      <c r="HG83" s="15"/>
      <c r="HH83" s="15"/>
      <c r="HI83" s="15"/>
      <c r="HJ83" s="15"/>
      <c r="HK83" s="15"/>
      <c r="HL83" s="15"/>
      <c r="HM83" s="16"/>
      <c r="HN83" s="18"/>
      <c r="HO83" s="15"/>
      <c r="HP83" s="15"/>
      <c r="HQ83" s="15"/>
      <c r="HR83" s="15"/>
      <c r="HS83" s="15"/>
      <c r="HT83" s="15"/>
      <c r="HU83" s="15"/>
      <c r="HV83" s="15"/>
      <c r="HW83" s="16"/>
      <c r="HX83" s="18"/>
      <c r="HY83" s="15"/>
      <c r="HZ83" s="15"/>
      <c r="IA83" s="15"/>
      <c r="IB83" s="15"/>
      <c r="IC83" s="15"/>
      <c r="ID83" s="15"/>
      <c r="IE83" s="15"/>
      <c r="IF83" s="15"/>
      <c r="IG83" s="16"/>
      <c r="IH83" s="18"/>
      <c r="II83" s="15"/>
      <c r="IJ83" s="15"/>
      <c r="IK83" s="15"/>
      <c r="IL83" s="15"/>
    </row>
    <row r="84" spans="1:246" ht="14.25" x14ac:dyDescent="0.2">
      <c r="A84" s="98" t="s">
        <v>47</v>
      </c>
      <c r="B84" s="106" t="s">
        <v>40</v>
      </c>
      <c r="C84" s="126">
        <f>C_PAMB2 S_mini_idle</f>
        <v>0</v>
      </c>
      <c r="D84" s="126">
        <f>C_PAMB2 S_approach_idle</f>
        <v>0</v>
      </c>
      <c r="E84" s="126">
        <f>C_PAMB2 S_maxi_continu1</f>
        <v>0</v>
      </c>
      <c r="F84" s="126">
        <f>C_PAMB2 S_take_off1</f>
        <v>0</v>
      </c>
      <c r="G84" s="126">
        <f>C_PAMB2 S_maxi_continu2</f>
        <v>0</v>
      </c>
      <c r="H84" s="126">
        <f>C_PAMB2 S_take_off2</f>
        <v>0</v>
      </c>
      <c r="I84" s="126"/>
      <c r="J84" s="126">
        <f>C_PAMB2 S_Shut_D_oil_fuel</f>
        <v>0</v>
      </c>
      <c r="K84" s="97"/>
    </row>
    <row r="85" spans="1:246" ht="14.25" x14ac:dyDescent="0.2">
      <c r="A85" s="98" t="s">
        <v>39</v>
      </c>
      <c r="B85" s="106" t="s">
        <v>40</v>
      </c>
      <c r="C85" s="126">
        <f>C_P_Cell_Front S_mini_idle</f>
        <v>0</v>
      </c>
      <c r="D85" s="126">
        <f>C_P_Cell_Front S_approach_idle</f>
        <v>0</v>
      </c>
      <c r="E85" s="126">
        <f>C_P_Cell_Front S_maxi_continu1</f>
        <v>0</v>
      </c>
      <c r="F85" s="126">
        <f>C_P_Cell_Front S_take_off1</f>
        <v>0</v>
      </c>
      <c r="G85" s="126">
        <f>C_P_Cell_Front S_maxi_continu2</f>
        <v>0</v>
      </c>
      <c r="H85" s="126">
        <f>C_P_Cell_Front S_take_off2</f>
        <v>0</v>
      </c>
      <c r="I85" s="126"/>
      <c r="J85" s="126">
        <f>C_P_Cell_Front S_Shut_D_oil_fuel</f>
        <v>0</v>
      </c>
      <c r="K85" s="97"/>
    </row>
    <row r="86" spans="1:246" ht="14.25" x14ac:dyDescent="0.2">
      <c r="A86" s="98" t="s">
        <v>41</v>
      </c>
      <c r="B86" s="106" t="s">
        <v>40</v>
      </c>
      <c r="C86" s="126">
        <f>C_P_Cell_Rear S_mini_idle</f>
        <v>0</v>
      </c>
      <c r="D86" s="126">
        <f>C_P_Cell_Rear S_approach_idle</f>
        <v>0</v>
      </c>
      <c r="E86" s="126">
        <f>C_P_Cell_Rear S_maxi_continu1</f>
        <v>0</v>
      </c>
      <c r="F86" s="126">
        <f>C_P_Cell_Rear S_take_off1</f>
        <v>0</v>
      </c>
      <c r="G86" s="126">
        <f>C_P_Cell_Rear S_maxi_continu2</f>
        <v>0</v>
      </c>
      <c r="H86" s="126">
        <f>C_P_Cell_Rear S_take_off2</f>
        <v>0</v>
      </c>
      <c r="I86" s="126"/>
      <c r="J86" s="126">
        <f>C_P_Cell_Rear S_Shut_D_oil_fuel</f>
        <v>0</v>
      </c>
      <c r="K86" s="97"/>
    </row>
    <row r="87" spans="1:246" ht="14.25" x14ac:dyDescent="0.2">
      <c r="A87" s="98" t="s">
        <v>173</v>
      </c>
      <c r="B87" s="106" t="s">
        <v>40</v>
      </c>
      <c r="C87" s="126" t="s">
        <v>1</v>
      </c>
      <c r="D87" s="126" t="s">
        <v>1</v>
      </c>
      <c r="E87" s="126" t="e">
        <f>_xlfn.SINGLE(C_PT2_CAL S_maxi_continu1)</f>
        <v>#REF!</v>
      </c>
      <c r="F87" s="126" t="e">
        <f>_xlfn.SINGLE(C_PT2_CAL S_take_off1)</f>
        <v>#REF!</v>
      </c>
      <c r="G87" s="126" t="e">
        <f>_xlfn.SINGLE(C_PT2_CAL S_maxi_continu2)</f>
        <v>#REF!</v>
      </c>
      <c r="H87" s="126" t="e">
        <f>_xlfn.SINGLE(C_PT2_CAL S_take_off2)</f>
        <v>#REF!</v>
      </c>
      <c r="I87" s="126"/>
      <c r="J87" s="126" t="s">
        <v>1</v>
      </c>
      <c r="K87" s="97"/>
    </row>
    <row r="88" spans="1:246" ht="14.25" x14ac:dyDescent="0.2">
      <c r="A88" s="98" t="s">
        <v>50</v>
      </c>
      <c r="B88" s="106" t="s">
        <v>40</v>
      </c>
      <c r="C88" s="126">
        <f>C_PS2W S_mini_idle</f>
        <v>0</v>
      </c>
      <c r="D88" s="126">
        <f>C_PS2W S_approach_idle</f>
        <v>0</v>
      </c>
      <c r="E88" s="126">
        <f>C_PS2W S_maxi_continu1</f>
        <v>0</v>
      </c>
      <c r="F88" s="126">
        <f>C_PS2W S_take_off1</f>
        <v>0</v>
      </c>
      <c r="G88" s="126">
        <f>C_PS2W S_maxi_continu2</f>
        <v>0</v>
      </c>
      <c r="H88" s="126">
        <f>C_PS2W S_take_off2</f>
        <v>0</v>
      </c>
      <c r="I88" s="126"/>
      <c r="J88" s="126">
        <f>C_PS2W S_Shut_D_oil_fuel</f>
        <v>0</v>
      </c>
      <c r="K88" s="97"/>
    </row>
    <row r="89" spans="1:246" ht="14.25" x14ac:dyDescent="0.2">
      <c r="A89" s="98" t="s">
        <v>51</v>
      </c>
      <c r="B89" s="106" t="s">
        <v>40</v>
      </c>
      <c r="C89" s="126">
        <f>C_PS2W1 S_mini_idle</f>
        <v>0</v>
      </c>
      <c r="D89" s="126">
        <f>C_PS2W1 S_approach_idle</f>
        <v>0</v>
      </c>
      <c r="E89" s="126">
        <f>C_PS2W1 S_maxi_continu1</f>
        <v>0</v>
      </c>
      <c r="F89" s="126">
        <f>C_PS2W1 S_take_off1</f>
        <v>0</v>
      </c>
      <c r="G89" s="126">
        <f>C_PS2W1 S_maxi_continu2</f>
        <v>0</v>
      </c>
      <c r="H89" s="126">
        <f>C_PS2W1 S_take_off2</f>
        <v>0</v>
      </c>
      <c r="I89" s="126"/>
      <c r="J89" s="126">
        <f>C_PS2W1 S_Shut_D_oil_fuel</f>
        <v>0</v>
      </c>
      <c r="K89" s="97"/>
    </row>
    <row r="90" spans="1:246" ht="14.25" x14ac:dyDescent="0.2">
      <c r="A90" s="98" t="s">
        <v>52</v>
      </c>
      <c r="B90" s="106" t="s">
        <v>40</v>
      </c>
      <c r="C90" s="126">
        <f>C_PS2W2 S_mini_idle</f>
        <v>0</v>
      </c>
      <c r="D90" s="126">
        <f>C_PS2W2 S_approach_idle</f>
        <v>0</v>
      </c>
      <c r="E90" s="126">
        <f>C_PS2W2 S_maxi_continu1</f>
        <v>0</v>
      </c>
      <c r="F90" s="126">
        <f>C_PS2W2 S_take_off1</f>
        <v>0</v>
      </c>
      <c r="G90" s="126">
        <f>C_PS2W2 S_maxi_continu2</f>
        <v>0</v>
      </c>
      <c r="H90" s="126">
        <f>C_PS2W2 S_take_off2</f>
        <v>0</v>
      </c>
      <c r="I90" s="126"/>
      <c r="J90" s="126">
        <f>C_PS2W2 S_Shut_D_oil_fuel</f>
        <v>0</v>
      </c>
      <c r="K90" s="97"/>
    </row>
    <row r="91" spans="1:246" ht="14.25" x14ac:dyDescent="0.2">
      <c r="A91" s="98" t="s">
        <v>53</v>
      </c>
      <c r="B91" s="106" t="s">
        <v>40</v>
      </c>
      <c r="C91" s="126">
        <f>C_PS2W3 S_mini_idle</f>
        <v>0</v>
      </c>
      <c r="D91" s="126">
        <f>C_PS2W3 S_approach_idle</f>
        <v>0</v>
      </c>
      <c r="E91" s="126">
        <f>C_PS2W3 S_maxi_continu1</f>
        <v>0</v>
      </c>
      <c r="F91" s="126">
        <f>C_PS2W3 S_take_off1</f>
        <v>0</v>
      </c>
      <c r="G91" s="126">
        <f>C_PS2W3 S_maxi_continu2</f>
        <v>0</v>
      </c>
      <c r="H91" s="126">
        <f>C_PS2W3 S_take_off2</f>
        <v>0</v>
      </c>
      <c r="I91" s="126"/>
      <c r="J91" s="126">
        <f>C_PS2W3 S_Shut_D_oil_fuel</f>
        <v>0</v>
      </c>
      <c r="K91" s="97"/>
    </row>
    <row r="92" spans="1:246" ht="14.25" x14ac:dyDescent="0.2">
      <c r="A92" s="98" t="s">
        <v>54</v>
      </c>
      <c r="B92" s="106" t="s">
        <v>40</v>
      </c>
      <c r="C92" s="126">
        <f>C_PS2W4 S_mini_idle</f>
        <v>0</v>
      </c>
      <c r="D92" s="126">
        <f>C_PS2W4 S_approach_idle</f>
        <v>0</v>
      </c>
      <c r="E92" s="126">
        <f>C_PS2W4 S_maxi_continu1</f>
        <v>0</v>
      </c>
      <c r="F92" s="126">
        <f>C_PS2W4 S_take_off1</f>
        <v>0</v>
      </c>
      <c r="G92" s="126">
        <f>C_PS2W4 S_maxi_continu2</f>
        <v>0</v>
      </c>
      <c r="H92" s="126">
        <f>C_PS2W4 S_take_off2</f>
        <v>0</v>
      </c>
      <c r="I92" s="126"/>
      <c r="J92" s="126">
        <f>C_PS2W4 S_Shut_D_oil_fuel</f>
        <v>0</v>
      </c>
      <c r="K92" s="97"/>
    </row>
    <row r="93" spans="1:246" ht="14.25" x14ac:dyDescent="0.2">
      <c r="A93" s="98" t="s">
        <v>48</v>
      </c>
      <c r="B93" s="106" t="s">
        <v>40</v>
      </c>
      <c r="C93" s="126">
        <f>IF(C_PS13_ECU S_mini_idle&gt;C_PS13 S_mini_idle,"N/A",C_PS13 S_mini_idle)</f>
        <v>0</v>
      </c>
      <c r="D93" s="126">
        <f>IF(C_PS13_ECU S_approach_idle&gt;C_PS13 S_approach_idle,"N/A",C_PS13 S_approach_idle)</f>
        <v>0</v>
      </c>
      <c r="E93" s="126">
        <f>IF(C_PS13_ECU S_maxi_continu1&gt;C_PS13 S_maxi_continu1,"N/A",C_PS13 S_maxi_continu1)</f>
        <v>0</v>
      </c>
      <c r="F93" s="126">
        <f>IF(C_PS13_ECU S_take_off1&gt;C_PS13 S_take_off1,"N/A",C_PS13 S_take_off1)</f>
        <v>0</v>
      </c>
      <c r="G93" s="126">
        <f>IF(C_PS13_ECU S_maxi_continu2&gt;C_PS13 S_maxi_continu2,"N/A",C_PS13 S_maxi_continu2)</f>
        <v>0</v>
      </c>
      <c r="H93" s="126">
        <f>IF(C_PS13_ECU S_take_off2&gt;C_PS13 S_take_off2,"N/A",C_PS13 S_take_off2)</f>
        <v>0</v>
      </c>
      <c r="I93" s="126"/>
      <c r="J93" s="126">
        <f>IF(C_PS13_ECU S_Shut_D_oil_fuel&gt;C_PS13 S_Shut_D_oil_fuel,"N/A",C_PS13 S_Shut_D_oil_fuel)</f>
        <v>0</v>
      </c>
      <c r="K93" s="97"/>
    </row>
    <row r="94" spans="1:246" ht="14.25" x14ac:dyDescent="0.2">
      <c r="A94" s="98" t="s">
        <v>49</v>
      </c>
      <c r="B94" s="106" t="s">
        <v>40</v>
      </c>
      <c r="C94" s="126" t="str">
        <f>IF(C_PS13_ECU S_mini_idle&gt;C_PS13 S_mini_idle,C_PS13_ECU S_mini_idle,"N/A")</f>
        <v>N/A</v>
      </c>
      <c r="D94" s="126" t="str">
        <f>IF(C_PS13_ECU S_approach_idle&gt;C_PS13 S_approach_idle,C_PS13_ECU S_approach_idle,"N/A")</f>
        <v>N/A</v>
      </c>
      <c r="E94" s="126" t="str">
        <f>IF(C_PS13_ECU S_maxi_continu1&gt;C_PS13 S_maxi_continu1,C_PS13_ECU S_maxi_continu1,"N/A")</f>
        <v>N/A</v>
      </c>
      <c r="F94" s="126" t="str">
        <f>IF(C_PS13_ECU S_take_off1&gt;C_PS13 S_take_off1,C_PS13_ECU S_take_off1,"N/A")</f>
        <v>N/A</v>
      </c>
      <c r="G94" s="126" t="str">
        <f>IF(C_PS13_ECU S_maxi_continu2&gt;C_PS13 S_maxi_continu2,C_PS13_ECU S_maxi_continu2,"N/A")</f>
        <v>N/A</v>
      </c>
      <c r="H94" s="126" t="str">
        <f>IF(C_PS13_ECU S_take_off2&gt;C_PS13 S_take_off2,C_PS13_ECU S_take_off2,"N/A")</f>
        <v>N/A</v>
      </c>
      <c r="I94" s="126"/>
      <c r="J94" s="126" t="str">
        <f>IF(C_PS13_ECU S_Shut_D_oil_fuel&gt;C_PS13 S_Shut_D_oil_fuel,C_PS13_ECU S_Shut_D_oil_fuel,"N/A")</f>
        <v>N/A</v>
      </c>
      <c r="K94" s="97"/>
    </row>
    <row r="95" spans="1:246" ht="14.25" x14ac:dyDescent="0.2">
      <c r="A95" s="98" t="s">
        <v>222</v>
      </c>
      <c r="B95" s="106" t="s">
        <v>40</v>
      </c>
      <c r="C95" s="126" t="str">
        <f>IF(C_P25_ECU S_mini_idle&lt;15,"N/A",C_P25_ECU S_mini_idle)</f>
        <v>N/A</v>
      </c>
      <c r="D95" s="126" t="str">
        <f>IF(C_P25_ECU S_approach_idle&lt;15,"N/A",C_P25_ECU S_approach_idle)</f>
        <v>N/A</v>
      </c>
      <c r="E95" s="126" t="str">
        <f>IF(C_P25_ECU S_maxi_continu1&lt;15,"N/A",C_P25_ECU S_maxi_continu1)</f>
        <v>N/A</v>
      </c>
      <c r="F95" s="126" t="str">
        <f>IF(C_P25_ECU S_take_off1&lt;15,"N/A",C_P25_ECU S_take_off1)</f>
        <v>N/A</v>
      </c>
      <c r="G95" s="126" t="str">
        <f>IF(C_P25_ECU S_maxi_continu2&lt;15,"N/A",C_P25_ECU S_maxi_continu2)</f>
        <v>N/A</v>
      </c>
      <c r="H95" s="126" t="str">
        <f>IF(C_P25_ECU S_take_off2&lt;15,"N/A",C_P25_ECU S_take_off2)</f>
        <v>N/A</v>
      </c>
      <c r="I95" s="126"/>
      <c r="J95" s="126" t="str">
        <f>IF(C_P25_ECU S_Shut_D_oil_fuel&lt;15,"N/A",C_P25_ECU S_Shut_D_oil_fuel)</f>
        <v>N/A</v>
      </c>
      <c r="K95" s="97"/>
    </row>
    <row r="96" spans="1:246" ht="14.25" x14ac:dyDescent="0.2">
      <c r="A96" s="98" t="s">
        <v>56</v>
      </c>
      <c r="B96" s="106" t="s">
        <v>40</v>
      </c>
      <c r="C96" s="126">
        <f>C_PT17 S_mini_idle</f>
        <v>0</v>
      </c>
      <c r="D96" s="126">
        <f>C_PT17 S_approach_idle</f>
        <v>0</v>
      </c>
      <c r="E96" s="126">
        <f>C_PT17 S_maxi_continu1</f>
        <v>0</v>
      </c>
      <c r="F96" s="126">
        <f>C_PT17 S_take_off1</f>
        <v>0</v>
      </c>
      <c r="G96" s="126">
        <f>C_PT17 S_maxi_continu2</f>
        <v>0</v>
      </c>
      <c r="H96" s="126">
        <f>C_PT17 S_take_off2</f>
        <v>0</v>
      </c>
      <c r="I96" s="126"/>
      <c r="J96" s="126">
        <f>C_PT17 S_Shut_D_oil_fuel</f>
        <v>0</v>
      </c>
      <c r="K96" s="97"/>
    </row>
    <row r="97" spans="1:11" ht="14.25" x14ac:dyDescent="0.2">
      <c r="A97" s="98" t="s">
        <v>57</v>
      </c>
      <c r="B97" s="106" t="s">
        <v>40</v>
      </c>
      <c r="C97" s="126">
        <f>C_PT17_1 S_mini_idle</f>
        <v>0</v>
      </c>
      <c r="D97" s="126">
        <f>C_PT17_1 S_approach_idle</f>
        <v>0</v>
      </c>
      <c r="E97" s="126">
        <f>C_PT17_1 S_maxi_continu1</f>
        <v>0</v>
      </c>
      <c r="F97" s="126">
        <f>C_PT17_1 S_take_off1</f>
        <v>0</v>
      </c>
      <c r="G97" s="126">
        <f>C_PT17_1 S_maxi_continu2</f>
        <v>0</v>
      </c>
      <c r="H97" s="126">
        <f>C_PT17_1 S_take_off2</f>
        <v>0</v>
      </c>
      <c r="I97" s="126"/>
      <c r="J97" s="126">
        <f>C_PT17_1 S_Shut_D_oil_fuel</f>
        <v>0</v>
      </c>
      <c r="K97" s="97"/>
    </row>
    <row r="98" spans="1:11" ht="14.25" x14ac:dyDescent="0.2">
      <c r="A98" s="98" t="s">
        <v>58</v>
      </c>
      <c r="B98" s="106" t="s">
        <v>40</v>
      </c>
      <c r="C98" s="126">
        <f>C_PT17_2 S_mini_idle</f>
        <v>0</v>
      </c>
      <c r="D98" s="126">
        <f>C_PT17_2 S_approach_idle</f>
        <v>0</v>
      </c>
      <c r="E98" s="126">
        <f>C_PT17_2 S_maxi_continu1</f>
        <v>0</v>
      </c>
      <c r="F98" s="126">
        <f>C_PT17_2 S_take_off1</f>
        <v>0</v>
      </c>
      <c r="G98" s="126">
        <f>C_PT17_2 S_maxi_continu2</f>
        <v>0</v>
      </c>
      <c r="H98" s="126">
        <f>C_PT17_2 S_take_off2</f>
        <v>0</v>
      </c>
      <c r="I98" s="126"/>
      <c r="J98" s="126">
        <f>C_PT17_2 S_Shut_D_oil_fuel</f>
        <v>0</v>
      </c>
      <c r="K98" s="97"/>
    </row>
    <row r="99" spans="1:11" ht="14.25" x14ac:dyDescent="0.2">
      <c r="A99" s="98" t="s">
        <v>59</v>
      </c>
      <c r="B99" s="106" t="s">
        <v>40</v>
      </c>
      <c r="C99" s="126" t="e">
        <f>_xlfn.SINGLE(C_PT25 S_mini_idle)</f>
        <v>#REF!</v>
      </c>
      <c r="D99" s="126" t="e">
        <f>_xlfn.SINGLE(C_PT25 S_approach_idle)</f>
        <v>#REF!</v>
      </c>
      <c r="E99" s="126" t="e">
        <f>_xlfn.SINGLE(C_PT25 S_maxi_continu1)</f>
        <v>#REF!</v>
      </c>
      <c r="F99" s="126" t="e">
        <f>_xlfn.SINGLE(C_PT25 S_take_off1)</f>
        <v>#REF!</v>
      </c>
      <c r="G99" s="126" t="e">
        <f>_xlfn.SINGLE(C_PT25 S_maxi_continu2)</f>
        <v>#REF!</v>
      </c>
      <c r="H99" s="126" t="e">
        <f>_xlfn.SINGLE(C_PT25 S_take_off2)</f>
        <v>#REF!</v>
      </c>
      <c r="I99" s="126"/>
      <c r="J99" s="126" t="e">
        <f>_xlfn.SINGLE(C_PT25 S_Shut_D_oil_fuel)</f>
        <v>#REF!</v>
      </c>
      <c r="K99" s="97"/>
    </row>
    <row r="100" spans="1:11" ht="14.25" x14ac:dyDescent="0.2">
      <c r="A100" s="98" t="s">
        <v>55</v>
      </c>
      <c r="B100" s="106" t="s">
        <v>40</v>
      </c>
      <c r="C100" s="127">
        <f>C_PS3_SEL_A S_mini_idle</f>
        <v>0</v>
      </c>
      <c r="D100" s="127">
        <f>C_PS3_SEL_A S_approach_idle</f>
        <v>0</v>
      </c>
      <c r="E100" s="127">
        <f>C_PS3_SEL_A S_maxi_continu1</f>
        <v>0</v>
      </c>
      <c r="F100" s="127">
        <f>C_PS3_SEL_A S_take_off1</f>
        <v>0</v>
      </c>
      <c r="G100" s="127">
        <f>C_PS3_SEL_A S_maxi_continu2</f>
        <v>0</v>
      </c>
      <c r="H100" s="127">
        <f>C_PS3_SEL_A S_take_off2</f>
        <v>0</v>
      </c>
      <c r="I100" s="127"/>
      <c r="J100" s="127">
        <f>C_PS3_SEL_A S_Shut_D_oil_fuel</f>
        <v>0</v>
      </c>
    </row>
    <row r="101" spans="1:11" s="104" customFormat="1" ht="15.75" x14ac:dyDescent="0.25">
      <c r="A101" s="129" t="s">
        <v>135</v>
      </c>
      <c r="B101" s="130" t="s">
        <v>136</v>
      </c>
      <c r="C101" s="131" t="s">
        <v>137</v>
      </c>
      <c r="D101" s="131" t="s">
        <v>138</v>
      </c>
      <c r="E101" s="131" t="s">
        <v>204</v>
      </c>
      <c r="F101" s="131" t="s">
        <v>205</v>
      </c>
      <c r="G101" s="131" t="s">
        <v>206</v>
      </c>
      <c r="H101" s="131" t="s">
        <v>207</v>
      </c>
      <c r="I101" s="131"/>
      <c r="J101" s="131" t="s">
        <v>139</v>
      </c>
    </row>
    <row r="102" spans="1:11" s="104" customFormat="1" ht="15.75" x14ac:dyDescent="0.25">
      <c r="A102" s="129"/>
      <c r="B102" s="130"/>
      <c r="C102" s="131"/>
      <c r="D102" s="131"/>
      <c r="E102" s="131"/>
      <c r="F102" s="131"/>
      <c r="G102" s="131"/>
      <c r="H102" s="131"/>
      <c r="I102" s="131"/>
      <c r="J102" s="131"/>
    </row>
    <row r="103" spans="1:11" s="37" customFormat="1" ht="14.25" x14ac:dyDescent="0.2">
      <c r="A103" s="104" t="s">
        <v>132</v>
      </c>
      <c r="B103" s="128"/>
      <c r="C103" s="107" t="str">
        <f t="shared" ref="C103:J103" si="2">H_TEST_NAME</f>
        <v>19-8053</v>
      </c>
      <c r="D103" s="107" t="str">
        <f t="shared" si="2"/>
        <v>19-8053</v>
      </c>
      <c r="E103" s="107" t="str">
        <f t="shared" si="2"/>
        <v>19-8053</v>
      </c>
      <c r="F103" s="107" t="str">
        <f t="shared" si="2"/>
        <v>19-8053</v>
      </c>
      <c r="G103" s="107" t="str">
        <f t="shared" si="2"/>
        <v>19-8053</v>
      </c>
      <c r="H103" s="107" t="str">
        <f t="shared" si="2"/>
        <v>19-8053</v>
      </c>
      <c r="I103" s="107"/>
      <c r="J103" s="107" t="str">
        <f t="shared" si="2"/>
        <v>19-8053</v>
      </c>
    </row>
    <row r="104" spans="1:11" s="37" customFormat="1" ht="14.25" x14ac:dyDescent="0.2">
      <c r="A104" s="104" t="s">
        <v>127</v>
      </c>
      <c r="B104" s="128"/>
      <c r="C104" s="104">
        <f t="shared" ref="C104:J104" si="3">H_ENGINE_SERIAL_NO</f>
        <v>575499</v>
      </c>
      <c r="D104" s="104">
        <f t="shared" si="3"/>
        <v>575499</v>
      </c>
      <c r="E104" s="104">
        <f t="shared" si="3"/>
        <v>575499</v>
      </c>
      <c r="F104" s="104">
        <f t="shared" si="3"/>
        <v>575499</v>
      </c>
      <c r="G104" s="104">
        <f t="shared" si="3"/>
        <v>575499</v>
      </c>
      <c r="H104" s="104">
        <f t="shared" si="3"/>
        <v>575499</v>
      </c>
      <c r="I104" s="104"/>
      <c r="J104" s="104">
        <f t="shared" si="3"/>
        <v>575499</v>
      </c>
    </row>
    <row r="105" spans="1:11" s="37" customFormat="1" ht="14.25" x14ac:dyDescent="0.2">
      <c r="A105" s="104" t="s">
        <v>131</v>
      </c>
      <c r="B105" s="128" t="s">
        <v>150</v>
      </c>
      <c r="C105" s="107">
        <f xml:space="preserve"> VLOOKUP(C_Engine_Rating S_mini_idle,enum_list!$A$2:$F$102,3,1)</f>
        <v>0</v>
      </c>
      <c r="D105" s="107">
        <f xml:space="preserve"> VLOOKUP(C_Engine_Rating S_approach_idle,enum_list!$A$2:$F$102,3,1)</f>
        <v>0</v>
      </c>
      <c r="E105" s="107">
        <f xml:space="preserve"> VLOOKUP(C_Engine_Rating S_maxi_continu1,enum_list!$A$2:$F$102,3,1)</f>
        <v>0</v>
      </c>
      <c r="F105" s="107">
        <f xml:space="preserve"> VLOOKUP(C_Engine_Rating S_take_off1,enum_list!$A$2:$F$102,3,1)</f>
        <v>0</v>
      </c>
      <c r="G105" s="107">
        <f xml:space="preserve"> VLOOKUP(C_Engine_Rating S_maxi_continu2,enum_list!$A$2:$F$102,3,1)</f>
        <v>0</v>
      </c>
      <c r="H105" s="107">
        <f xml:space="preserve"> VLOOKUP(C_Engine_Rating S_take_off2,enum_list!$A$2:$F$102,3,1)</f>
        <v>0</v>
      </c>
      <c r="I105" s="107"/>
      <c r="J105" s="107">
        <f xml:space="preserve"> VLOOKUP(C_Engine_Rating  S_Shut_D_oil_fuel,enum_list!$A$2:F151,3,1)</f>
        <v>0</v>
      </c>
    </row>
    <row r="106" spans="1:11" s="37" customFormat="1" ht="15" x14ac:dyDescent="0.2">
      <c r="B106" s="11"/>
      <c r="C106" s="97"/>
      <c r="D106" s="97"/>
      <c r="E106" s="97"/>
      <c r="F106" s="97"/>
      <c r="G106" s="97"/>
      <c r="H106" s="97"/>
      <c r="I106" s="97"/>
      <c r="J106" s="97"/>
    </row>
    <row r="107" spans="1:11" ht="14.25" x14ac:dyDescent="0.2">
      <c r="A107" s="98" t="s">
        <v>186</v>
      </c>
      <c r="B107" s="106" t="s">
        <v>43</v>
      </c>
      <c r="C107" s="126">
        <f>C_PS3R_SEL S_mini_idle</f>
        <v>0</v>
      </c>
      <c r="D107" s="126">
        <f>C_PS3R_SEL S_approach_idle</f>
        <v>0</v>
      </c>
      <c r="E107" s="126">
        <f>C_PS3R_SEL S_maxi_continu1</f>
        <v>0</v>
      </c>
      <c r="F107" s="126">
        <f>C_PS3R_SEL S_take_off1</f>
        <v>0</v>
      </c>
      <c r="G107" s="126">
        <f>C_PS3R_SEL S_maxi_continu2</f>
        <v>0</v>
      </c>
      <c r="H107" s="126">
        <f>C_PS3R_SEL S_take_off2</f>
        <v>0</v>
      </c>
      <c r="I107" s="126"/>
      <c r="J107" s="126">
        <f>C_PS3R_SEL S_Shut_D_oil_fuel</f>
        <v>0</v>
      </c>
      <c r="K107" s="20"/>
    </row>
    <row r="108" spans="1:11" ht="14.25" x14ac:dyDescent="0.2">
      <c r="A108" s="98" t="s">
        <v>60</v>
      </c>
      <c r="B108" s="106" t="s">
        <v>40</v>
      </c>
      <c r="C108" s="127">
        <f>C_PT495 S_mini_idle</f>
        <v>0</v>
      </c>
      <c r="D108" s="127">
        <f>C_PT495 S_approach_idle</f>
        <v>0</v>
      </c>
      <c r="E108" s="127">
        <f>C_PT495 S_maxi_continu1</f>
        <v>0</v>
      </c>
      <c r="F108" s="127">
        <f>C_PT495 S_take_off1</f>
        <v>0</v>
      </c>
      <c r="G108" s="127">
        <f>C_PT495 S_maxi_continu2</f>
        <v>0</v>
      </c>
      <c r="H108" s="127">
        <f>C_PT495 S_take_off2</f>
        <v>0</v>
      </c>
      <c r="I108" s="127"/>
      <c r="J108" s="127">
        <f>C_PT495 S_Shut_D_oil_fuel</f>
        <v>0</v>
      </c>
      <c r="K108" s="104"/>
    </row>
    <row r="109" spans="1:11" ht="14.25" x14ac:dyDescent="0.2">
      <c r="A109" s="98" t="s">
        <v>61</v>
      </c>
      <c r="B109" s="106" t="s">
        <v>40</v>
      </c>
      <c r="C109" s="127">
        <f>C_PT54 S_mini_idle</f>
        <v>0</v>
      </c>
      <c r="D109" s="127">
        <f>C_PT54 S_approach_idle</f>
        <v>0</v>
      </c>
      <c r="E109" s="127">
        <f>C_PT54 S_maxi_continu1</f>
        <v>0</v>
      </c>
      <c r="F109" s="127">
        <f>C_PT54 S_take_off1</f>
        <v>0</v>
      </c>
      <c r="G109" s="127">
        <f>C_PT54 S_maxi_continu2</f>
        <v>0</v>
      </c>
      <c r="H109" s="127">
        <f>C_PT54 S_take_off2</f>
        <v>0</v>
      </c>
      <c r="I109" s="127"/>
      <c r="J109" s="127">
        <f>C_PT54 S_Shut_D_oil_fuel</f>
        <v>0</v>
      </c>
      <c r="K109" s="104"/>
    </row>
    <row r="110" spans="1:11" ht="14.25" x14ac:dyDescent="0.2">
      <c r="A110" s="98" t="s">
        <v>25</v>
      </c>
      <c r="B110" s="106" t="s">
        <v>40</v>
      </c>
      <c r="C110" s="127">
        <f>C_MOP S_mini_idle</f>
        <v>0</v>
      </c>
      <c r="D110" s="127">
        <f>C_MOP S_approach_idle</f>
        <v>0</v>
      </c>
      <c r="E110" s="127">
        <f>C_MOP S_maxi_continu1</f>
        <v>0</v>
      </c>
      <c r="F110" s="127">
        <f>C_MOP S_take_off1</f>
        <v>0</v>
      </c>
      <c r="G110" s="127">
        <f>C_MOP S_maxi_continu2</f>
        <v>0</v>
      </c>
      <c r="H110" s="127">
        <f>C_MOP S_take_off2</f>
        <v>0</v>
      </c>
      <c r="I110" s="127"/>
      <c r="J110" s="127">
        <f>C_MOP S_Shut_D_oil_fuel</f>
        <v>0</v>
      </c>
      <c r="K110" s="104"/>
    </row>
    <row r="111" spans="1:11" ht="14.25" x14ac:dyDescent="0.2">
      <c r="A111" s="98" t="s">
        <v>44</v>
      </c>
      <c r="B111" s="106" t="s">
        <v>40</v>
      </c>
      <c r="C111" s="127">
        <f>C_P_Sop_Diff S_mini_idle</f>
        <v>0</v>
      </c>
      <c r="D111" s="127">
        <f>C_P_Sop_Diff S_approach_idle</f>
        <v>0</v>
      </c>
      <c r="E111" s="127">
        <f>C_P_Sop_Diff S_maxi_continu1</f>
        <v>0</v>
      </c>
      <c r="F111" s="127">
        <f>C_P_Sop_Diff S_take_off1</f>
        <v>0</v>
      </c>
      <c r="G111" s="127">
        <f>C_P_Sop_Diff S_maxi_continu2</f>
        <v>0</v>
      </c>
      <c r="H111" s="127">
        <f>C_P_Sop_Diff S_take_off2</f>
        <v>0</v>
      </c>
      <c r="I111" s="127"/>
      <c r="J111" s="127">
        <f>C_P_Sop_Diff S_Shut_D_oil_fuel</f>
        <v>0</v>
      </c>
      <c r="K111" s="104"/>
    </row>
    <row r="112" spans="1:11" ht="14.25" x14ac:dyDescent="0.2">
      <c r="A112" s="98" t="s">
        <v>45</v>
      </c>
      <c r="B112" s="106" t="s">
        <v>40</v>
      </c>
      <c r="C112" s="127">
        <f>C_P_Sump S_mini_idle</f>
        <v>0</v>
      </c>
      <c r="D112" s="127">
        <f>C_P_Sump S_approach_idle</f>
        <v>0</v>
      </c>
      <c r="E112" s="127">
        <f>C_P_Sump S_maxi_continu1</f>
        <v>0</v>
      </c>
      <c r="F112" s="127">
        <f>C_P_Sump S_take_off1</f>
        <v>0</v>
      </c>
      <c r="G112" s="127">
        <f>C_P_Sump S_maxi_continu2</f>
        <v>0</v>
      </c>
      <c r="H112" s="127">
        <f>C_P_Sump S_take_off2</f>
        <v>0</v>
      </c>
      <c r="I112" s="127"/>
      <c r="J112" s="127">
        <f>C_P_Sump S_Shut_D_oil_fuel</f>
        <v>0</v>
      </c>
      <c r="K112" s="104"/>
    </row>
    <row r="113" spans="1:11" ht="14.25" x14ac:dyDescent="0.2">
      <c r="A113" s="98" t="s">
        <v>42</v>
      </c>
      <c r="B113" s="106" t="s">
        <v>43</v>
      </c>
      <c r="C113" s="127">
        <f>C_P_Fuel S_mini_idle</f>
        <v>0</v>
      </c>
      <c r="D113" s="127">
        <f>C_P_Fuel S_approach_idle</f>
        <v>0</v>
      </c>
      <c r="E113" s="127">
        <f>C_P_Fuel S_maxi_continu1</f>
        <v>0</v>
      </c>
      <c r="F113" s="127">
        <f>C_P_Fuel S_take_off1</f>
        <v>0</v>
      </c>
      <c r="G113" s="127">
        <f>C_P_Fuel S_maxi_continu2</f>
        <v>0</v>
      </c>
      <c r="H113" s="127">
        <f>C_P_Fuel S_take_off2</f>
        <v>0</v>
      </c>
      <c r="I113" s="127"/>
      <c r="J113" s="127">
        <f>C_P_Fuel S_Shut_D_oil_fuel</f>
        <v>0</v>
      </c>
      <c r="K113" s="104"/>
    </row>
    <row r="114" spans="1:11" ht="14.25" x14ac:dyDescent="0.2">
      <c r="A114" s="98" t="s">
        <v>171</v>
      </c>
      <c r="B114" s="106" t="s">
        <v>65</v>
      </c>
      <c r="C114" s="101">
        <f>C_TLA_SEL_A S_mini_idle</f>
        <v>0</v>
      </c>
      <c r="D114" s="101">
        <f>C_TLA_SEL_A S_approach_idle</f>
        <v>0</v>
      </c>
      <c r="E114" s="101">
        <f>C_TLA_SEL_A S_maxi_continu1</f>
        <v>0</v>
      </c>
      <c r="F114" s="101">
        <f>C_TLA_SEL_A S_take_off1</f>
        <v>0</v>
      </c>
      <c r="G114" s="101">
        <f>C_TLA_SEL_A S_maxi_continu2</f>
        <v>0</v>
      </c>
      <c r="H114" s="101">
        <f>C_TLA_SEL_A S_take_off2</f>
        <v>0</v>
      </c>
      <c r="I114" s="101"/>
      <c r="J114" s="101">
        <f>C_TLA_SEL_A S_Shut_D_oil_fuel</f>
        <v>0</v>
      </c>
      <c r="K114" s="104"/>
    </row>
    <row r="115" spans="1:11" ht="14.25" x14ac:dyDescent="0.2">
      <c r="A115" s="98" t="s">
        <v>12</v>
      </c>
      <c r="B115" s="106" t="s">
        <v>3</v>
      </c>
      <c r="C115" s="101">
        <f>C_FMV_SEL_A S_mini_idle</f>
        <v>0</v>
      </c>
      <c r="D115" s="101">
        <f>C_FMV_SEL_A S_approach_idle</f>
        <v>0</v>
      </c>
      <c r="E115" s="101">
        <f>C_FMV_SEL_A S_maxi_continu1</f>
        <v>0</v>
      </c>
      <c r="F115" s="101">
        <f>C_FMV_SEL_A S_take_off1</f>
        <v>0</v>
      </c>
      <c r="G115" s="101">
        <f>C_FMV_SEL_A S_maxi_continu2</f>
        <v>0</v>
      </c>
      <c r="H115" s="101">
        <f>C_FMV_SEL_A S_take_off2</f>
        <v>0</v>
      </c>
      <c r="I115" s="101"/>
      <c r="J115" s="101">
        <f>C_FMV_SEL_A S_Shut_D_oil_fuel</f>
        <v>0</v>
      </c>
      <c r="K115" s="104"/>
    </row>
    <row r="116" spans="1:11" ht="14.25" x14ac:dyDescent="0.2">
      <c r="A116" s="98" t="s">
        <v>20</v>
      </c>
      <c r="B116" s="106" t="s">
        <v>3</v>
      </c>
      <c r="C116" s="101" t="e">
        <f>_xlfn.SINGLE(C_HPTC_SEL_A S_mini_idle)</f>
        <v>#REF!</v>
      </c>
      <c r="D116" s="101" t="e">
        <f>_xlfn.SINGLE(C_HPTC_SEL_A S_approach_idle)</f>
        <v>#REF!</v>
      </c>
      <c r="E116" s="101" t="e">
        <f>_xlfn.SINGLE(C_HPTC_SEL_A S_maxi_continu1)</f>
        <v>#REF!</v>
      </c>
      <c r="F116" s="101" t="e">
        <f>_xlfn.SINGLE(C_HPTC_SEL_A S_take_off1)</f>
        <v>#REF!</v>
      </c>
      <c r="G116" s="101" t="e">
        <f>_xlfn.SINGLE(C_HPTC_SEL_A S_maxi_continu2)</f>
        <v>#REF!</v>
      </c>
      <c r="H116" s="101" t="e">
        <f>_xlfn.SINGLE(C_HPTC_SEL_A S_take_off2)</f>
        <v>#REF!</v>
      </c>
      <c r="I116" s="101"/>
      <c r="J116" s="101" t="e">
        <f>_xlfn.SINGLE(C_HPTC_SEL_A S_Shut_D_oil_fuel)</f>
        <v>#REF!</v>
      </c>
      <c r="K116" s="104"/>
    </row>
    <row r="117" spans="1:11" ht="14.25" x14ac:dyDescent="0.2">
      <c r="A117" s="98" t="s">
        <v>24</v>
      </c>
      <c r="B117" s="106" t="s">
        <v>3</v>
      </c>
      <c r="C117" s="101">
        <f>C_LPTC_SEL_A S_mini_idle</f>
        <v>0</v>
      </c>
      <c r="D117" s="101">
        <f>C_LPTC_SEL_A S_approach_idle</f>
        <v>0</v>
      </c>
      <c r="E117" s="101">
        <f>C_LPTC_SEL_A S_maxi_continu1</f>
        <v>0</v>
      </c>
      <c r="F117" s="101">
        <f>C_LPTC_SEL_A S_take_off1</f>
        <v>0</v>
      </c>
      <c r="G117" s="101">
        <f>C_LPTC_SEL_A S_maxi_continu2</f>
        <v>0</v>
      </c>
      <c r="H117" s="101">
        <f>C_LPTC_SEL_A S_take_off2</f>
        <v>0</v>
      </c>
      <c r="I117" s="101"/>
      <c r="J117" s="101">
        <f>C_LPTC_SEL_A S_Shut_D_oil_fuel</f>
        <v>0</v>
      </c>
      <c r="K117" s="104"/>
    </row>
    <row r="118" spans="1:11" ht="14.25" x14ac:dyDescent="0.2">
      <c r="A118" s="98" t="s">
        <v>301</v>
      </c>
      <c r="B118" s="106" t="s">
        <v>3</v>
      </c>
      <c r="C118" s="101">
        <f>C_RAC_SEL S_mini_idle</f>
        <v>0</v>
      </c>
      <c r="D118" s="101">
        <f>C_RAC_SEL S_approach_idle</f>
        <v>0</v>
      </c>
      <c r="E118" s="101">
        <f>C_RAC_SEL S_maxi_continu1</f>
        <v>0</v>
      </c>
      <c r="F118" s="101">
        <f>C_RAC_SEL S_take_off1</f>
        <v>0</v>
      </c>
      <c r="G118" s="101">
        <f>C_RAC_SEL S_maxi_continu2</f>
        <v>0</v>
      </c>
      <c r="H118" s="101">
        <f>C_RAC_SEL S_take_off2</f>
        <v>0</v>
      </c>
      <c r="I118" s="101"/>
      <c r="J118" s="101">
        <f>C_RAC_SEL S_Shut_D_oil_fuel</f>
        <v>0</v>
      </c>
      <c r="K118" s="104"/>
    </row>
    <row r="119" spans="1:11" ht="14.25" x14ac:dyDescent="0.2">
      <c r="A119" s="98" t="s">
        <v>32</v>
      </c>
      <c r="B119" s="106" t="s">
        <v>30</v>
      </c>
      <c r="C119" s="134">
        <f>C_N1R S_mini_idle</f>
        <v>0</v>
      </c>
      <c r="D119" s="134">
        <f>C_N1R S_approach_idle</f>
        <v>0</v>
      </c>
      <c r="E119" s="134">
        <f>C_N1R S_maxi_continu1</f>
        <v>0</v>
      </c>
      <c r="F119" s="134">
        <f>C_N1R S_take_off1</f>
        <v>0</v>
      </c>
      <c r="G119" s="134">
        <f>C_N1R S_maxi_continu2</f>
        <v>0</v>
      </c>
      <c r="H119" s="134">
        <f>C_N1R S_take_off2</f>
        <v>0</v>
      </c>
      <c r="I119" s="134"/>
      <c r="J119" s="134">
        <f>C_N1R S_Shut_D_oil_fuel</f>
        <v>0</v>
      </c>
      <c r="K119" s="104"/>
    </row>
    <row r="120" spans="1:11" ht="14.25" x14ac:dyDescent="0.2">
      <c r="A120" s="98" t="s">
        <v>35</v>
      </c>
      <c r="B120" s="106" t="s">
        <v>30</v>
      </c>
      <c r="C120" s="135" t="s">
        <v>1</v>
      </c>
      <c r="D120" s="135" t="s">
        <v>1</v>
      </c>
      <c r="E120" s="100">
        <f>C_N2K S_maxi_continu1</f>
        <v>0</v>
      </c>
      <c r="F120" s="100">
        <f>C_N2K S_take_off1</f>
        <v>0</v>
      </c>
      <c r="G120" s="100">
        <f>C_N2K S_maxi_continu2</f>
        <v>0</v>
      </c>
      <c r="H120" s="100">
        <f>C_N2K S_take_off2</f>
        <v>0</v>
      </c>
      <c r="I120" s="135"/>
      <c r="J120" s="135" t="s">
        <v>1</v>
      </c>
      <c r="K120" s="104"/>
    </row>
    <row r="121" spans="1:11" ht="14.25" x14ac:dyDescent="0.2">
      <c r="A121" s="98" t="s">
        <v>16</v>
      </c>
      <c r="B121" s="106" t="s">
        <v>147</v>
      </c>
      <c r="C121" s="103" t="s">
        <v>1</v>
      </c>
      <c r="D121" s="103" t="s">
        <v>1</v>
      </c>
      <c r="E121" s="100">
        <f>C_FNK S_maxi_continu1</f>
        <v>0</v>
      </c>
      <c r="F121" s="100">
        <f>C_FNK S_take_off1</f>
        <v>0</v>
      </c>
      <c r="G121" s="100">
        <f>C_FNK S_maxi_continu2</f>
        <v>0</v>
      </c>
      <c r="H121" s="100">
        <f>C_FNK S_take_off2</f>
        <v>0</v>
      </c>
      <c r="I121" s="103"/>
      <c r="J121" s="103" t="s">
        <v>1</v>
      </c>
      <c r="K121" s="104"/>
    </row>
    <row r="122" spans="1:11" ht="14.25" x14ac:dyDescent="0.2">
      <c r="A122" s="98" t="s">
        <v>77</v>
      </c>
      <c r="B122" s="106" t="s">
        <v>76</v>
      </c>
      <c r="C122" s="135" t="s">
        <v>1</v>
      </c>
      <c r="D122" s="135" t="s">
        <v>1</v>
      </c>
      <c r="E122" s="100">
        <f>C_WFK S_maxi_continu1</f>
        <v>0</v>
      </c>
      <c r="F122" s="100">
        <f>C_WFK S_take_off1</f>
        <v>0</v>
      </c>
      <c r="G122" s="100">
        <f>C_WFK S_maxi_continu2</f>
        <v>0</v>
      </c>
      <c r="H122" s="100">
        <f>C_WFK S_take_off2</f>
        <v>0</v>
      </c>
      <c r="I122" s="135"/>
      <c r="J122" s="135" t="s">
        <v>1</v>
      </c>
      <c r="K122" s="104"/>
    </row>
    <row r="123" spans="1:11" ht="14.25" x14ac:dyDescent="0.2">
      <c r="A123" s="98" t="s">
        <v>6</v>
      </c>
      <c r="B123" s="106" t="s">
        <v>148</v>
      </c>
      <c r="C123" s="103" t="s">
        <v>1</v>
      </c>
      <c r="D123" s="103" t="s">
        <v>1</v>
      </c>
      <c r="E123" s="102">
        <f>C_EGTK S_maxi_continu1</f>
        <v>0</v>
      </c>
      <c r="F123" s="102">
        <f>C_EGTK S_take_off1</f>
        <v>0</v>
      </c>
      <c r="G123" s="102">
        <f>C_EGTK S_maxi_continu2</f>
        <v>0</v>
      </c>
      <c r="H123" s="102">
        <f>C_EGTK S_take_off2</f>
        <v>0</v>
      </c>
      <c r="I123" s="103"/>
      <c r="J123" s="103" t="s">
        <v>1</v>
      </c>
      <c r="K123" s="104"/>
    </row>
    <row r="124" spans="1:11" ht="14.25" x14ac:dyDescent="0.2">
      <c r="A124" s="98" t="s">
        <v>63</v>
      </c>
      <c r="B124" s="106" t="s">
        <v>149</v>
      </c>
      <c r="C124" s="103" t="s">
        <v>1</v>
      </c>
      <c r="D124" s="103" t="s">
        <v>1</v>
      </c>
      <c r="E124" s="102" t="e">
        <f>_xlfn.SINGLE(C_SFCK S_maxi_continu1)</f>
        <v>#REF!</v>
      </c>
      <c r="F124" s="102" t="e">
        <f>_xlfn.SINGLE(C_SFCK S_take_off1)</f>
        <v>#REF!</v>
      </c>
      <c r="G124" s="102" t="e">
        <f>_xlfn.SINGLE(C_SFCK S_maxi_continu2)</f>
        <v>#REF!</v>
      </c>
      <c r="H124" s="102" t="e">
        <f>_xlfn.SINGLE(C_SFCK S_take_off2)</f>
        <v>#REF!</v>
      </c>
      <c r="I124" s="103"/>
      <c r="J124" s="103" t="s">
        <v>1</v>
      </c>
      <c r="K124" s="104"/>
    </row>
    <row r="125" spans="1:11" ht="14.25" x14ac:dyDescent="0.2">
      <c r="A125" s="98" t="s">
        <v>27</v>
      </c>
      <c r="B125" s="106" t="s">
        <v>26</v>
      </c>
      <c r="C125" s="127">
        <f>C_MOPK S_mini_idle</f>
        <v>0</v>
      </c>
      <c r="D125" s="127">
        <f>C_MOPK S_approach_idle</f>
        <v>0</v>
      </c>
      <c r="E125" s="127">
        <f>C_MOPK S_maxi_continu1</f>
        <v>0</v>
      </c>
      <c r="F125" s="127">
        <f>C_MOPK S_take_off1</f>
        <v>0</v>
      </c>
      <c r="G125" s="127">
        <f>C_MOPK S_maxi_continu2</f>
        <v>0</v>
      </c>
      <c r="H125" s="127">
        <f>C_MOPK S_take_off2</f>
        <v>0</v>
      </c>
      <c r="I125" s="127"/>
      <c r="J125" s="127">
        <f>C_MOPK S_Shut_D_oil_fuel</f>
        <v>0</v>
      </c>
      <c r="K125" s="104"/>
    </row>
    <row r="126" spans="1:11" ht="14.25" x14ac:dyDescent="0.2">
      <c r="A126" s="98" t="s">
        <v>163</v>
      </c>
      <c r="B126" s="106" t="s">
        <v>164</v>
      </c>
      <c r="C126" s="101">
        <f>C_TT2_F S_mini_idle</f>
        <v>0</v>
      </c>
      <c r="D126" s="101">
        <f>C_TT2_F S_approach_idle</f>
        <v>0</v>
      </c>
      <c r="E126" s="101">
        <f>C_TT2_F S_maxi_continu1</f>
        <v>0</v>
      </c>
      <c r="F126" s="101">
        <f>C_TT2_F S_take_off1</f>
        <v>0</v>
      </c>
      <c r="G126" s="101">
        <f>C_TT2_F S_maxi_continu2</f>
        <v>0</v>
      </c>
      <c r="H126" s="101">
        <f>C_TT2_F S_take_off2</f>
        <v>0</v>
      </c>
      <c r="I126" s="101"/>
      <c r="J126" s="101">
        <f>C_TT2_F S_Shut_D_oil_fuel</f>
        <v>0</v>
      </c>
      <c r="K126" s="104"/>
    </row>
    <row r="127" spans="1:11" ht="14.25" x14ac:dyDescent="0.2">
      <c r="A127" s="98" t="s">
        <v>37</v>
      </c>
      <c r="B127" s="106" t="s">
        <v>30</v>
      </c>
      <c r="C127" s="134">
        <f>C_N2R25 S_mini_idle</f>
        <v>0</v>
      </c>
      <c r="D127" s="134">
        <f>C_N2R25 S_approach_idle</f>
        <v>0</v>
      </c>
      <c r="E127" s="134">
        <f>C_N2R25 S_maxi_continu1</f>
        <v>0</v>
      </c>
      <c r="F127" s="134">
        <f>C_N2R25 S_take_off1</f>
        <v>0</v>
      </c>
      <c r="G127" s="134">
        <f>C_N2R25 S_maxi_continu2</f>
        <v>0</v>
      </c>
      <c r="H127" s="134">
        <f>C_N2R25 S_take_off2</f>
        <v>0</v>
      </c>
      <c r="I127" s="134"/>
      <c r="J127" s="134">
        <f>C_N2R25 S_Shut_D_oil_fuel</f>
        <v>0</v>
      </c>
      <c r="K127" s="104"/>
    </row>
    <row r="128" spans="1:11" ht="14.25" x14ac:dyDescent="0.2">
      <c r="A128" s="98" t="s">
        <v>187</v>
      </c>
      <c r="B128" s="106" t="s">
        <v>3</v>
      </c>
      <c r="C128" s="103" t="s">
        <v>1</v>
      </c>
      <c r="D128" s="103" t="s">
        <v>1</v>
      </c>
      <c r="E128" s="103" t="s">
        <v>1</v>
      </c>
      <c r="F128" s="127">
        <f>C_FNK_TO_MAR S_take_off1</f>
        <v>0</v>
      </c>
      <c r="G128" s="103" t="s">
        <v>1</v>
      </c>
      <c r="H128" s="127">
        <f>C_FNK_TO_MAR S_take_off2</f>
        <v>0</v>
      </c>
      <c r="I128" s="103"/>
      <c r="J128" s="103" t="s">
        <v>1</v>
      </c>
      <c r="K128" s="104"/>
    </row>
    <row r="129" spans="1:11" ht="14.25" x14ac:dyDescent="0.2">
      <c r="A129" s="98" t="s">
        <v>64</v>
      </c>
      <c r="B129" s="106" t="s">
        <v>149</v>
      </c>
      <c r="C129" s="101">
        <f>C_SFCRF S_mini_idle</f>
        <v>0</v>
      </c>
      <c r="D129" s="101">
        <f>C_SFCRF S_approach_idle</f>
        <v>0</v>
      </c>
      <c r="E129" s="101">
        <f>C_SFCRF S_maxi_continu1</f>
        <v>0</v>
      </c>
      <c r="F129" s="101">
        <f>C_SFCRF S_take_off1</f>
        <v>0</v>
      </c>
      <c r="G129" s="101">
        <f>C_SFCRF S_maxi_continu2</f>
        <v>0</v>
      </c>
      <c r="H129" s="101">
        <f>C_SFCRF S_take_off2</f>
        <v>0</v>
      </c>
      <c r="I129" s="101"/>
      <c r="J129" s="101">
        <f>C_SFCRF S_Shut_D_oil_fuel</f>
        <v>0</v>
      </c>
      <c r="K129" s="104"/>
    </row>
    <row r="130" spans="1:11" ht="14.25" x14ac:dyDescent="0.2">
      <c r="A130" s="98" t="s">
        <v>74</v>
      </c>
      <c r="B130" s="106" t="s">
        <v>299</v>
      </c>
      <c r="C130" s="103" t="s">
        <v>1</v>
      </c>
      <c r="D130" s="103" t="s">
        <v>1</v>
      </c>
      <c r="E130" s="101">
        <f>C_W2K S_maxi_continu1</f>
        <v>0</v>
      </c>
      <c r="F130" s="101">
        <f>C_W2K S_take_off1</f>
        <v>0</v>
      </c>
      <c r="G130" s="101">
        <f>C_W2K S_maxi_continu2</f>
        <v>0</v>
      </c>
      <c r="H130" s="101">
        <f>C_W2K S_take_off2</f>
        <v>0</v>
      </c>
      <c r="I130" s="103"/>
      <c r="J130" s="103" t="s">
        <v>1</v>
      </c>
      <c r="K130" s="104"/>
    </row>
    <row r="131" spans="1:11" ht="14.25" x14ac:dyDescent="0.2">
      <c r="A131" s="98" t="s">
        <v>2</v>
      </c>
      <c r="B131" s="106" t="s">
        <v>165</v>
      </c>
      <c r="C131" s="101">
        <f>C_CTR S_mini_idle</f>
        <v>0</v>
      </c>
      <c r="D131" s="101">
        <f>C_CTR S_approach_idle</f>
        <v>0</v>
      </c>
      <c r="E131" s="101">
        <f>C_CTR S_maxi_continu1</f>
        <v>0</v>
      </c>
      <c r="F131" s="101">
        <f>C_CTR S_take_off1</f>
        <v>0</v>
      </c>
      <c r="G131" s="101">
        <f>C_CTR S_maxi_continu2</f>
        <v>0</v>
      </c>
      <c r="H131" s="101">
        <f>C_CTR S_take_off2</f>
        <v>0</v>
      </c>
      <c r="I131" s="101"/>
      <c r="J131" s="101">
        <f>C_CTR S_Shut_D_oil_fuel</f>
        <v>0</v>
      </c>
      <c r="K131" s="104"/>
    </row>
    <row r="132" spans="1:11" ht="14.25" x14ac:dyDescent="0.2">
      <c r="A132" s="98" t="s">
        <v>18</v>
      </c>
      <c r="B132" s="106" t="s">
        <v>147</v>
      </c>
      <c r="C132" s="103" t="s">
        <v>1</v>
      </c>
      <c r="D132" s="103" t="s">
        <v>1</v>
      </c>
      <c r="E132" s="100">
        <f>C_FNKM S_maxi_continu1</f>
        <v>0</v>
      </c>
      <c r="F132" s="100">
        <f>C_FNKM S_take_off1</f>
        <v>0</v>
      </c>
      <c r="G132" s="100">
        <f>C_FNKM S_maxi_continu2</f>
        <v>0</v>
      </c>
      <c r="H132" s="100">
        <f>C_FNKM S_take_off2</f>
        <v>0</v>
      </c>
      <c r="I132" s="103"/>
      <c r="J132" s="103" t="s">
        <v>1</v>
      </c>
      <c r="K132" s="104"/>
    </row>
    <row r="133" spans="1:11" ht="14.25" x14ac:dyDescent="0.2">
      <c r="A133" s="98" t="s">
        <v>142</v>
      </c>
      <c r="B133" s="106" t="s">
        <v>148</v>
      </c>
      <c r="C133" s="103" t="s">
        <v>1</v>
      </c>
      <c r="D133" s="103" t="s">
        <v>1</v>
      </c>
      <c r="E133" s="102">
        <f>C_EGTKM S_maxi_continu1</f>
        <v>0</v>
      </c>
      <c r="F133" s="102">
        <f>C_EGTKM S_take_off1</f>
        <v>0</v>
      </c>
      <c r="G133" s="102">
        <f>C_EGTKM S_maxi_continu2</f>
        <v>0</v>
      </c>
      <c r="H133" s="102">
        <f>C_EGTKM S_take_off2</f>
        <v>0</v>
      </c>
      <c r="I133" s="103"/>
      <c r="J133" s="103" t="s">
        <v>1</v>
      </c>
      <c r="K133" s="104"/>
    </row>
    <row r="134" spans="1:11" ht="14.25" x14ac:dyDescent="0.2">
      <c r="A134" s="98" t="s">
        <v>36</v>
      </c>
      <c r="B134" s="106" t="s">
        <v>30</v>
      </c>
      <c r="C134" s="103" t="s">
        <v>1</v>
      </c>
      <c r="D134" s="103" t="s">
        <v>1</v>
      </c>
      <c r="E134" s="100">
        <f>C_N2KM S_maxi_continu1</f>
        <v>0</v>
      </c>
      <c r="F134" s="100">
        <f>C_N2KM S_take_off1</f>
        <v>0</v>
      </c>
      <c r="G134" s="100">
        <f>C_N2KM S_maxi_continu2</f>
        <v>0</v>
      </c>
      <c r="H134" s="100">
        <f>C_N2KM S_take_off2</f>
        <v>0</v>
      </c>
      <c r="I134" s="103"/>
      <c r="J134" s="103" t="s">
        <v>1</v>
      </c>
      <c r="K134" s="104"/>
    </row>
    <row r="135" spans="1:11" ht="14.25" x14ac:dyDescent="0.2">
      <c r="A135" s="98" t="s">
        <v>172</v>
      </c>
      <c r="B135" s="106" t="s">
        <v>30</v>
      </c>
      <c r="C135" s="103" t="s">
        <v>1</v>
      </c>
      <c r="D135" s="103" t="s">
        <v>1</v>
      </c>
      <c r="E135" s="100">
        <f>C_N2R2HD S_maxi_continu1</f>
        <v>0</v>
      </c>
      <c r="F135" s="100">
        <f>C_N2R2HD S_take_off1</f>
        <v>0</v>
      </c>
      <c r="G135" s="100">
        <f>C_N2R2HD S_maxi_continu2</f>
        <v>0</v>
      </c>
      <c r="H135" s="100">
        <f>C_N2R2HD S_take_off2</f>
        <v>0</v>
      </c>
      <c r="I135" s="103"/>
      <c r="J135" s="103" t="s">
        <v>1</v>
      </c>
      <c r="K135" s="104"/>
    </row>
    <row r="136" spans="1:11" ht="14.25" x14ac:dyDescent="0.2">
      <c r="A136" s="98" t="s">
        <v>4</v>
      </c>
      <c r="B136" s="106" t="s">
        <v>148</v>
      </c>
      <c r="C136" s="103" t="s">
        <v>1</v>
      </c>
      <c r="D136" s="103" t="s">
        <v>1</v>
      </c>
      <c r="E136" s="102">
        <f>C_EGTHD S_maxi_continu1</f>
        <v>0</v>
      </c>
      <c r="F136" s="102">
        <f>C_EGTHD S_take_off1</f>
        <v>0</v>
      </c>
      <c r="G136" s="102">
        <f>C_EGTHD S_maxi_continu2</f>
        <v>0</v>
      </c>
      <c r="H136" s="102">
        <f>C_EGTHD S_take_off2</f>
        <v>0</v>
      </c>
      <c r="I136" s="103"/>
      <c r="J136" s="103" t="s">
        <v>1</v>
      </c>
      <c r="K136" s="104"/>
    </row>
    <row r="137" spans="1:11" ht="14.25" x14ac:dyDescent="0.2">
      <c r="A137" s="98" t="s">
        <v>34</v>
      </c>
      <c r="B137" s="106" t="s">
        <v>30</v>
      </c>
      <c r="C137" s="103" t="s">
        <v>1</v>
      </c>
      <c r="D137" s="103" t="s">
        <v>1</v>
      </c>
      <c r="E137" s="100">
        <f>C_N2HDM S_maxi_continu1</f>
        <v>0</v>
      </c>
      <c r="F137" s="100">
        <f>C_N2HDM S_take_off1</f>
        <v>0</v>
      </c>
      <c r="G137" s="100">
        <f>C_N2HDM S_maxi_continu2</f>
        <v>0</v>
      </c>
      <c r="H137" s="100">
        <f>C_N2HDM S_take_off2</f>
        <v>0</v>
      </c>
      <c r="I137" s="103"/>
      <c r="J137" s="103" t="s">
        <v>1</v>
      </c>
      <c r="K137" s="104"/>
    </row>
    <row r="138" spans="1:11" ht="14.25" x14ac:dyDescent="0.2">
      <c r="A138" s="98" t="s">
        <v>5</v>
      </c>
      <c r="B138" s="106" t="s">
        <v>148</v>
      </c>
      <c r="C138" s="103" t="s">
        <v>1</v>
      </c>
      <c r="D138" s="103" t="s">
        <v>1</v>
      </c>
      <c r="E138" s="102">
        <f>C_EGTHDM S_maxi_continu1</f>
        <v>0</v>
      </c>
      <c r="F138" s="102">
        <f>C_EGTHDM S_take_off1</f>
        <v>0</v>
      </c>
      <c r="G138" s="102">
        <f>C_EGTHDM S_maxi_continu2</f>
        <v>0</v>
      </c>
      <c r="H138" s="102">
        <f>C_EGTHDM S_take_off2</f>
        <v>0</v>
      </c>
      <c r="I138" s="103"/>
      <c r="J138" s="103" t="s">
        <v>1</v>
      </c>
      <c r="K138" s="104"/>
    </row>
    <row r="139" spans="1:11" ht="14.25" x14ac:dyDescent="0.2">
      <c r="A139" s="98" t="s">
        <v>143</v>
      </c>
      <c r="B139" s="106" t="s">
        <v>148</v>
      </c>
      <c r="C139" s="103" t="s">
        <v>1</v>
      </c>
      <c r="D139" s="103" t="s">
        <v>1</v>
      </c>
      <c r="E139" s="102">
        <f>C_EGTHD_MARG S_maxi_continu1</f>
        <v>0</v>
      </c>
      <c r="F139" s="102">
        <f>C_EGTHD_MARG S_take_off1</f>
        <v>0</v>
      </c>
      <c r="G139" s="102">
        <f>C_EGTHD_MARG S_maxi_continu2</f>
        <v>0</v>
      </c>
      <c r="H139" s="102">
        <f>C_EGTHD_MARG S_take_off2</f>
        <v>0</v>
      </c>
      <c r="I139" s="103"/>
      <c r="J139" s="103" t="s">
        <v>1</v>
      </c>
      <c r="K139" s="104"/>
    </row>
    <row r="140" spans="1:11" ht="14.25" x14ac:dyDescent="0.2">
      <c r="A140" s="104"/>
      <c r="B140" s="128"/>
      <c r="C140" s="104"/>
      <c r="D140" s="104"/>
      <c r="E140" s="104"/>
      <c r="F140" s="104"/>
      <c r="G140" s="104"/>
      <c r="H140" s="104"/>
      <c r="I140" s="104"/>
      <c r="J140" s="104"/>
      <c r="K140" s="104"/>
    </row>
    <row r="141" spans="1:11" ht="14.25" x14ac:dyDescent="0.2">
      <c r="A141" s="104"/>
      <c r="B141" s="128"/>
      <c r="C141" s="104"/>
      <c r="D141" s="104"/>
      <c r="E141" s="104"/>
      <c r="F141" s="104"/>
      <c r="G141" s="104"/>
      <c r="H141" s="104"/>
      <c r="I141" s="104"/>
      <c r="J141" s="104"/>
      <c r="K141" s="104"/>
    </row>
  </sheetData>
  <sheetProtection password="E78E" sheet="1"/>
  <mergeCells count="1">
    <mergeCell ref="D7:G8"/>
  </mergeCells>
  <conditionalFormatting sqref="B40">
    <cfRule type="containsBlanks" dxfId="127" priority="4" stopIfTrue="1">
      <formula>LEN(TRIM(B40))=0</formula>
    </cfRule>
  </conditionalFormatting>
  <conditionalFormatting sqref="B43">
    <cfRule type="containsBlanks" dxfId="126" priority="3" stopIfTrue="1">
      <formula>LEN(TRIM(B43))=0</formula>
    </cfRule>
  </conditionalFormatting>
  <conditionalFormatting sqref="B46">
    <cfRule type="containsBlanks" dxfId="125" priority="1" stopIfTrue="1">
      <formula>LEN(TRIM(B46))=0</formula>
    </cfRule>
  </conditionalFormatting>
  <pageMargins left="0.45" right="0.2" top="0.75" bottom="0.5" header="0.3" footer="0.3"/>
  <pageSetup paperSize="9" scale="70" fitToHeight="3" orientation="landscape" horizontalDpi="200" verticalDpi="200" r:id="rId1"/>
  <headerFooter alignWithMargins="0">
    <oddFooter>&amp;C&amp;P of 3</oddFooter>
  </headerFooter>
  <rowBreaks count="2" manualBreakCount="2">
    <brk id="49" max="16383" man="1"/>
    <brk id="100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FFC000"/>
  </sheetPr>
  <dimension ref="A1:Q68"/>
  <sheetViews>
    <sheetView showFormulas="1" topLeftCell="A7" zoomScaleNormal="100" workbookViewId="0">
      <selection activeCell="A33" sqref="A33:G33"/>
    </sheetView>
    <sheetView topLeftCell="A43" workbookViewId="1">
      <selection activeCell="H51" sqref="H51"/>
    </sheetView>
  </sheetViews>
  <sheetFormatPr defaultColWidth="11.42578125" defaultRowHeight="12.75" x14ac:dyDescent="0.2"/>
  <cols>
    <col min="1" max="1" width="11.28515625" customWidth="1"/>
    <col min="2" max="8" width="10.7109375" customWidth="1"/>
    <col min="9" max="9" width="10.85546875" customWidth="1"/>
    <col min="10" max="10" width="10.85546875" bestFit="1" customWidth="1"/>
    <col min="11" max="14" width="9.140625" customWidth="1"/>
    <col min="15" max="15" width="12" bestFit="1" customWidth="1"/>
  </cols>
  <sheetData>
    <row r="1" spans="1:10" ht="12.75" customHeight="1" x14ac:dyDescent="0.25">
      <c r="A1" s="42"/>
      <c r="B1" s="42"/>
      <c r="C1" s="42"/>
      <c r="D1" s="42"/>
      <c r="E1" s="43"/>
      <c r="F1" s="44"/>
      <c r="G1" s="44"/>
      <c r="H1" s="44"/>
      <c r="I1" s="44"/>
      <c r="J1" s="44"/>
    </row>
    <row r="2" spans="1:10" ht="12.75" customHeight="1" x14ac:dyDescent="0.2">
      <c r="A2" s="531" t="s">
        <v>226</v>
      </c>
      <c r="B2" s="531"/>
      <c r="C2" s="531"/>
      <c r="D2" s="531"/>
      <c r="E2" s="531"/>
      <c r="F2" s="531"/>
      <c r="G2" s="531"/>
      <c r="H2" s="531"/>
      <c r="I2" s="531"/>
      <c r="J2" s="531"/>
    </row>
    <row r="3" spans="1:10" ht="12.75" customHeight="1" x14ac:dyDescent="0.2">
      <c r="A3" s="531"/>
      <c r="B3" s="531"/>
      <c r="C3" s="531"/>
      <c r="D3" s="531"/>
      <c r="E3" s="531"/>
      <c r="F3" s="531"/>
      <c r="G3" s="531"/>
      <c r="H3" s="531"/>
      <c r="I3" s="531"/>
      <c r="J3" s="531"/>
    </row>
    <row r="4" spans="1:10" ht="15" thickBot="1" x14ac:dyDescent="0.25">
      <c r="A4" s="45"/>
      <c r="B4" s="45"/>
      <c r="C4" s="45"/>
      <c r="D4" s="45"/>
      <c r="E4" s="45"/>
      <c r="F4" s="45"/>
      <c r="G4" s="45"/>
      <c r="H4" s="45"/>
      <c r="I4" s="45"/>
      <c r="J4" s="45"/>
    </row>
    <row r="5" spans="1:10" ht="15.75" thickTop="1" thickBot="1" x14ac:dyDescent="0.25">
      <c r="A5" s="532" t="s">
        <v>227</v>
      </c>
      <c r="B5" s="533"/>
      <c r="C5" s="533"/>
      <c r="D5" s="533"/>
      <c r="E5" s="533"/>
      <c r="F5" s="533" t="s">
        <v>228</v>
      </c>
      <c r="G5" s="533"/>
      <c r="H5" s="533"/>
      <c r="I5" s="533"/>
      <c r="J5" s="534"/>
    </row>
    <row r="6" spans="1:10" ht="13.5" thickTop="1" x14ac:dyDescent="0.2">
      <c r="A6" s="535" t="s">
        <v>229</v>
      </c>
      <c r="B6" s="536"/>
      <c r="C6" s="537" t="str">
        <f>H_ENGINE_TYPE</f>
        <v>CFM56_7B</v>
      </c>
      <c r="D6" s="538"/>
      <c r="E6" s="538"/>
      <c r="F6" s="547" t="s">
        <v>230</v>
      </c>
      <c r="G6" s="536"/>
      <c r="H6" s="537">
        <f>H_ESM_REV_NO</f>
        <v>74</v>
      </c>
      <c r="I6" s="538"/>
      <c r="J6" s="548"/>
    </row>
    <row r="7" spans="1:10" x14ac:dyDescent="0.2">
      <c r="A7" s="539" t="s">
        <v>298</v>
      </c>
      <c r="B7" s="502"/>
      <c r="C7" s="543" t="str">
        <f>H_CUSTOMER_NAME</f>
        <v>AFR</v>
      </c>
      <c r="D7" s="544"/>
      <c r="E7" s="544"/>
      <c r="F7" s="501" t="s">
        <v>232</v>
      </c>
      <c r="G7" s="502"/>
      <c r="H7" s="540" t="str">
        <f>H_ECU_PN</f>
        <v>2123M56P04</v>
      </c>
      <c r="I7" s="541"/>
      <c r="J7" s="542"/>
    </row>
    <row r="8" spans="1:10" x14ac:dyDescent="0.2">
      <c r="A8" s="539" t="s">
        <v>231</v>
      </c>
      <c r="B8" s="502"/>
      <c r="C8" s="543">
        <f>H_ENGINE_SERIAL_NO</f>
        <v>575499</v>
      </c>
      <c r="D8" s="544"/>
      <c r="E8" s="544"/>
      <c r="F8" s="501" t="s">
        <v>234</v>
      </c>
      <c r="G8" s="502"/>
      <c r="H8" s="543" t="str">
        <f>H_ECU_SOFT</f>
        <v>5BT.F1</v>
      </c>
      <c r="I8" s="544"/>
      <c r="J8" s="545"/>
    </row>
    <row r="9" spans="1:10" x14ac:dyDescent="0.2">
      <c r="A9" s="89" t="s">
        <v>233</v>
      </c>
      <c r="B9" s="90"/>
      <c r="C9" s="549" cm="1">
        <f t="array" ref="C9" xml:space="preserve"> VLOOKUP(C_Engine_Rating S_take_off1, enum_list!$A$2:$F$102,3,1)</f>
        <v>0</v>
      </c>
      <c r="D9" s="550"/>
      <c r="E9" s="550"/>
      <c r="F9" s="501" t="s">
        <v>236</v>
      </c>
      <c r="G9" s="502"/>
      <c r="H9" s="543" t="str">
        <f>H_OIL_TYPE</f>
        <v>EX2380</v>
      </c>
      <c r="I9" s="544"/>
      <c r="J9" s="545"/>
    </row>
    <row r="10" spans="1:10" x14ac:dyDescent="0.2">
      <c r="A10" s="89" t="s">
        <v>235</v>
      </c>
      <c r="B10" s="90"/>
      <c r="C10" s="543" t="str">
        <f>H_TEST_TYPE</f>
        <v>Performance Test</v>
      </c>
      <c r="D10" s="544"/>
      <c r="E10" s="544"/>
      <c r="F10" s="501" t="s">
        <v>237</v>
      </c>
      <c r="G10" s="502"/>
      <c r="H10" s="540" t="s">
        <v>238</v>
      </c>
      <c r="I10" s="541"/>
      <c r="J10" s="542"/>
    </row>
    <row r="11" spans="1:10" x14ac:dyDescent="0.2">
      <c r="A11" s="557" t="s">
        <v>446</v>
      </c>
      <c r="B11" s="558"/>
      <c r="C11" s="543" t="str">
        <f>H_ENG_QUALITY_REPAIR</f>
        <v>NQSV</v>
      </c>
      <c r="D11" s="544"/>
      <c r="E11" s="544"/>
      <c r="F11" s="501" t="s">
        <v>524</v>
      </c>
      <c r="G11" s="502"/>
      <c r="H11" s="580" t="str">
        <f>H_EXHAUST_NOZZLE</f>
        <v>Flight</v>
      </c>
      <c r="I11" s="581"/>
      <c r="J11" s="582"/>
    </row>
    <row r="12" spans="1:10" ht="13.5" thickBot="1" x14ac:dyDescent="0.25">
      <c r="A12" s="555" t="s">
        <v>239</v>
      </c>
      <c r="B12" s="556"/>
      <c r="C12" s="583">
        <f>H_TEST_DATE</f>
        <v>43729.338773148149</v>
      </c>
      <c r="D12" s="584"/>
      <c r="E12" s="584"/>
      <c r="F12" s="585" t="s">
        <v>297</v>
      </c>
      <c r="G12" s="556"/>
      <c r="H12" s="586">
        <f>H_BONUS_WORKSCOPE</f>
        <v>10</v>
      </c>
      <c r="I12" s="587"/>
      <c r="J12" s="588"/>
    </row>
    <row r="13" spans="1:10" ht="15.75" thickTop="1" thickBot="1" x14ac:dyDescent="0.25">
      <c r="A13" s="46"/>
      <c r="B13" s="46"/>
      <c r="C13" s="46"/>
      <c r="D13" s="47"/>
      <c r="E13" s="47"/>
      <c r="F13" s="47"/>
      <c r="G13" s="47"/>
      <c r="H13" s="47"/>
      <c r="I13" s="47"/>
      <c r="J13" s="47"/>
    </row>
    <row r="14" spans="1:10" ht="15" thickTop="1" x14ac:dyDescent="0.2">
      <c r="A14" s="515" t="s">
        <v>240</v>
      </c>
      <c r="B14" s="516"/>
      <c r="C14" s="516"/>
      <c r="D14" s="516"/>
      <c r="E14" s="516"/>
      <c r="F14" s="516"/>
      <c r="G14" s="516"/>
      <c r="H14" s="516"/>
      <c r="I14" s="516"/>
      <c r="J14" s="546"/>
    </row>
    <row r="15" spans="1:10" ht="14.25" customHeight="1" x14ac:dyDescent="0.2">
      <c r="A15" s="551" t="s">
        <v>241</v>
      </c>
      <c r="B15" s="553" t="s">
        <v>242</v>
      </c>
      <c r="C15" s="525"/>
      <c r="D15" s="573" t="s">
        <v>243</v>
      </c>
      <c r="E15" s="574"/>
      <c r="F15" s="574"/>
      <c r="G15" s="574"/>
      <c r="H15" s="574"/>
      <c r="I15" s="574"/>
      <c r="J15" s="575"/>
    </row>
    <row r="16" spans="1:10" ht="14.25" customHeight="1" x14ac:dyDescent="0.2">
      <c r="A16" s="552"/>
      <c r="B16" s="554"/>
      <c r="C16" s="526"/>
      <c r="D16" s="576" t="s">
        <v>244</v>
      </c>
      <c r="E16" s="577"/>
      <c r="F16" s="577"/>
      <c r="G16" s="577"/>
      <c r="H16" s="578"/>
      <c r="I16" s="576" t="s">
        <v>302</v>
      </c>
      <c r="J16" s="579"/>
    </row>
    <row r="17" spans="1:17" ht="14.25" customHeight="1" x14ac:dyDescent="0.2">
      <c r="A17" s="552"/>
      <c r="B17" s="554"/>
      <c r="C17" s="526"/>
      <c r="D17" s="443" t="s">
        <v>152</v>
      </c>
      <c r="E17" s="48" t="s">
        <v>245</v>
      </c>
      <c r="F17" s="48" t="s">
        <v>532</v>
      </c>
      <c r="G17" s="48" t="s">
        <v>75</v>
      </c>
      <c r="H17" s="48" t="s">
        <v>246</v>
      </c>
      <c r="I17" s="489" t="s">
        <v>245</v>
      </c>
      <c r="J17" s="49" t="s">
        <v>33</v>
      </c>
    </row>
    <row r="18" spans="1:17" ht="15" thickBot="1" x14ac:dyDescent="0.25">
      <c r="A18" s="50" t="s">
        <v>247</v>
      </c>
      <c r="B18" s="51" t="s">
        <v>248</v>
      </c>
      <c r="C18" s="527"/>
      <c r="D18" s="444" t="s">
        <v>249</v>
      </c>
      <c r="E18" s="52" t="s">
        <v>250</v>
      </c>
      <c r="F18" s="52" t="s">
        <v>247</v>
      </c>
      <c r="G18" s="52" t="s">
        <v>251</v>
      </c>
      <c r="H18" s="52" t="s">
        <v>252</v>
      </c>
      <c r="I18" s="490" t="s">
        <v>250</v>
      </c>
      <c r="J18" s="53" t="s">
        <v>247</v>
      </c>
    </row>
    <row r="19" spans="1:17" ht="15" customHeight="1" thickTop="1" x14ac:dyDescent="0.25">
      <c r="A19" s="517" t="s">
        <v>253</v>
      </c>
      <c r="B19" s="518"/>
      <c r="C19" s="265" t="s">
        <v>457</v>
      </c>
      <c r="D19" s="441"/>
      <c r="E19" s="85"/>
      <c r="F19" s="85"/>
      <c r="G19" s="85"/>
      <c r="H19" s="85"/>
      <c r="I19" s="484" t="e" cm="1">
        <f t="array" ref="I19">C_EGTHDTOLim S_take_off1</f>
        <v>#NAME?</v>
      </c>
      <c r="J19" s="77" t="e" cm="1">
        <f t="array" ref="J19">C_N2HDLim S_take_off1</f>
        <v>#NAME?</v>
      </c>
    </row>
    <row r="20" spans="1:17" ht="14.25" x14ac:dyDescent="0.2">
      <c r="A20" s="88"/>
      <c r="B20" s="519" t="e" cm="1">
        <f t="array" ref="B20">C_FLAT_TEMP S_take_off1</f>
        <v>#NAME?</v>
      </c>
      <c r="C20" s="266" t="s">
        <v>254</v>
      </c>
      <c r="D20" s="442" t="e" cm="1">
        <f t="array" ref="D20">C_FNK3_TOd S_take_off1</f>
        <v>#NAME?</v>
      </c>
      <c r="E20" s="315" t="e" cm="1">
        <f t="array" ref="E20">C_EGTK3_TOd S_take_off1</f>
        <v>#NAME?</v>
      </c>
      <c r="F20" s="56" t="e" cm="1">
        <f t="array" ref="F20">C_N2K3_TOd S_take_off1</f>
        <v>#NAME?</v>
      </c>
      <c r="G20" s="56" t="e" cm="1">
        <f t="array" ref="G20">C_WFK3_TOd S_take_off1</f>
        <v>#NAME?</v>
      </c>
      <c r="H20" s="315" t="e" cm="1">
        <f t="array" ref="H20">C_SFC_TOd S_take_off1</f>
        <v>#NAME?</v>
      </c>
      <c r="I20" s="486" t="e" cm="1">
        <f t="array" ref="I20">C_EGTHDM_TOd S_take_off1</f>
        <v>#NAME?</v>
      </c>
      <c r="J20" s="91" t="e" cm="1">
        <f t="array" ref="J20">C_N2CC3M S_take_off1</f>
        <v>#NAME?</v>
      </c>
    </row>
    <row r="21" spans="1:17" ht="14.25" x14ac:dyDescent="0.2">
      <c r="A21" s="521" t="e" cm="1">
        <f t="array" ref="A21">C_N1KRatedTO S_take_off1</f>
        <v>#NAME?</v>
      </c>
      <c r="B21" s="519"/>
      <c r="C21" s="266" t="s">
        <v>255</v>
      </c>
      <c r="D21" s="442" t="e" cm="1">
        <f t="array" ref="D21">C_FNKRatedTO S_take_off1</f>
        <v>#NAME?</v>
      </c>
      <c r="E21" s="509"/>
      <c r="F21" s="509"/>
      <c r="G21" s="509"/>
      <c r="H21" s="509"/>
      <c r="I21" s="487"/>
      <c r="J21" s="57"/>
    </row>
    <row r="22" spans="1:17" ht="15" thickBot="1" x14ac:dyDescent="0.25">
      <c r="A22" s="521"/>
      <c r="B22" s="759"/>
      <c r="C22" s="764" t="s">
        <v>559</v>
      </c>
      <c r="D22" s="760" t="e" cm="1">
        <f t="array" ref="D22">C_FNMrg_TOd_LO S_take_off1</f>
        <v>#NAME?</v>
      </c>
      <c r="E22" s="761"/>
      <c r="F22" s="761"/>
      <c r="G22" s="761"/>
      <c r="H22" s="761"/>
      <c r="I22" s="455" t="e" cm="1">
        <f t="array" ref="I22">C_EGTHDMMrg_TOd S_take_off1</f>
        <v>#NAME?</v>
      </c>
      <c r="J22" s="762"/>
    </row>
    <row r="23" spans="1:17" ht="15.75" thickTop="1" thickBot="1" x14ac:dyDescent="0.25">
      <c r="A23" s="522"/>
      <c r="B23" s="520"/>
      <c r="C23" s="763" t="s">
        <v>518</v>
      </c>
      <c r="D23" s="456" t="e" cm="1">
        <f t="array" ref="D23">C_FNMrgPC S_take_off1</f>
        <v>#NAME?</v>
      </c>
      <c r="E23" s="510"/>
      <c r="F23" s="510"/>
      <c r="G23" s="510"/>
      <c r="H23" s="510"/>
      <c r="I23" s="487"/>
      <c r="J23" s="87" t="e" cm="1">
        <f t="array" ref="J23">C_N2HDMMrg S_take_off1</f>
        <v>#NAME?</v>
      </c>
    </row>
    <row r="24" spans="1:17" ht="15" customHeight="1" thickTop="1" x14ac:dyDescent="0.25">
      <c r="A24" s="523" t="s">
        <v>256</v>
      </c>
      <c r="B24" s="524"/>
      <c r="C24" s="265" t="s">
        <v>457</v>
      </c>
      <c r="D24" s="441"/>
      <c r="E24" s="54"/>
      <c r="F24" s="54"/>
      <c r="G24" s="54"/>
      <c r="H24" s="86"/>
      <c r="I24" s="484" t="e" cm="1">
        <f t="array" ref="I24">C_EGTHDMCLim S_take_off1</f>
        <v>#NAME?</v>
      </c>
      <c r="J24" s="58"/>
    </row>
    <row r="25" spans="1:17" ht="14.25" x14ac:dyDescent="0.2">
      <c r="A25" s="55"/>
      <c r="B25" s="525" t="e" cm="1">
        <f t="array" ref="B25">C_=C_FLAT_TEMP S_take_off1 S_maxi_continu1</f>
        <v>#NAME?</v>
      </c>
      <c r="C25" s="266" t="s">
        <v>254</v>
      </c>
      <c r="D25" s="442" t="e" cm="1">
        <f t="array" ref="D25">C_FNK3_MCd S_take_off1</f>
        <v>#NAME?</v>
      </c>
      <c r="E25" s="315" t="e" cm="1">
        <f t="array" ref="E25">C_EGTK3_MCd S_take_off1</f>
        <v>#NAME?</v>
      </c>
      <c r="F25" s="56" t="e" cm="1">
        <f t="array" ref="F25">C_N2K3_MCd S_take_off1</f>
        <v>#NAME?</v>
      </c>
      <c r="G25" s="56" t="e" cm="1">
        <f t="array" ref="G25">C_WFK3_MCd S_take_off1</f>
        <v>#NAME?</v>
      </c>
      <c r="H25" s="315" t="e" cm="1">
        <f t="array" ref="H25">C_SFC_MCd S_take_off1</f>
        <v>#NAME?</v>
      </c>
      <c r="I25" s="486" t="e" cm="1">
        <f t="array" ref="I25">C_EGTHDM_MCd S_take_off1</f>
        <v>#NAME?</v>
      </c>
      <c r="J25" s="91" t="e" cm="1">
        <f t="array" ref="J25">C_N2CC3M S_take_off1</f>
        <v>#NAME?</v>
      </c>
    </row>
    <row r="26" spans="1:17" ht="14.25" x14ac:dyDescent="0.2">
      <c r="A26" s="521" t="e" cm="1">
        <f t="array" ref="A26">C_N1KRatedMC S_maxi_continu1</f>
        <v>#NAME?</v>
      </c>
      <c r="B26" s="526"/>
      <c r="C26" s="267" t="s">
        <v>255</v>
      </c>
      <c r="D26" s="442" t="e" cm="1">
        <f t="array" ref="D26">C_FNKRatedMC S_take_off1</f>
        <v>#NAME?</v>
      </c>
      <c r="E26" s="509"/>
      <c r="F26" s="509"/>
      <c r="G26" s="511"/>
      <c r="H26" s="511"/>
      <c r="I26" s="491"/>
      <c r="J26" s="58"/>
    </row>
    <row r="27" spans="1:17" ht="14.25" x14ac:dyDescent="0.2">
      <c r="A27" s="521"/>
      <c r="B27" s="526"/>
      <c r="C27" s="764" t="s">
        <v>559</v>
      </c>
      <c r="D27" s="760" t="e" cm="1">
        <f t="array" ref="D27">C_FNMrg_MCd_LO S_take_off1</f>
        <v>#NAME?</v>
      </c>
      <c r="E27" s="761"/>
      <c r="F27" s="761"/>
      <c r="G27" s="765"/>
      <c r="H27" s="765"/>
      <c r="I27" s="486" t="e" cm="1">
        <f t="array" ref="I27">C_EGTHDM_MCd S_take_off1</f>
        <v>#NAME?</v>
      </c>
      <c r="J27" s="766"/>
    </row>
    <row r="28" spans="1:17" ht="15" thickBot="1" x14ac:dyDescent="0.25">
      <c r="A28" s="522"/>
      <c r="B28" s="527"/>
      <c r="C28" s="268" t="s">
        <v>518</v>
      </c>
      <c r="D28" s="456" t="e" cm="1">
        <f t="array" ref="D28">C_FNMrgPC S_take_off1</f>
        <v>#NAME?</v>
      </c>
      <c r="E28" s="510"/>
      <c r="F28" s="510"/>
      <c r="G28" s="512"/>
      <c r="H28" s="512"/>
      <c r="I28" s="59"/>
      <c r="J28" s="59"/>
      <c r="L28" s="60"/>
      <c r="Q28" s="37"/>
    </row>
    <row r="29" spans="1:17" ht="13.5" customHeight="1" thickTop="1" x14ac:dyDescent="0.2">
      <c r="A29" s="61"/>
      <c r="B29" s="61"/>
      <c r="C29" s="61"/>
      <c r="D29" s="62"/>
      <c r="E29" s="63"/>
      <c r="F29" s="61"/>
      <c r="G29" s="62"/>
      <c r="H29" s="61"/>
      <c r="I29" s="61"/>
      <c r="J29" s="63"/>
      <c r="L29" s="60"/>
    </row>
    <row r="30" spans="1:17" ht="13.5" customHeight="1" thickBot="1" x14ac:dyDescent="0.25">
      <c r="A30" s="61"/>
      <c r="B30" s="61"/>
      <c r="C30" s="61"/>
      <c r="D30" s="62"/>
      <c r="E30" s="63"/>
      <c r="F30" s="61"/>
      <c r="G30" s="62"/>
      <c r="H30" s="61"/>
      <c r="I30" s="61"/>
      <c r="J30" s="63"/>
      <c r="L30" s="60"/>
    </row>
    <row r="31" spans="1:17" ht="15" thickTop="1" x14ac:dyDescent="0.2">
      <c r="A31" s="515" t="s">
        <v>257</v>
      </c>
      <c r="B31" s="516"/>
      <c r="C31" s="516"/>
      <c r="D31" s="516"/>
      <c r="E31" s="516"/>
      <c r="F31" s="516"/>
      <c r="G31" s="516"/>
      <c r="H31" s="64" t="s">
        <v>258</v>
      </c>
      <c r="I31" s="484" t="s">
        <v>259</v>
      </c>
      <c r="J31" s="65" t="s">
        <v>534</v>
      </c>
      <c r="L31" s="35"/>
    </row>
    <row r="32" spans="1:17" ht="14.25" customHeight="1" x14ac:dyDescent="0.2">
      <c r="A32" s="593" t="s">
        <v>519</v>
      </c>
      <c r="B32" s="594"/>
      <c r="C32" s="594"/>
      <c r="D32" s="594"/>
      <c r="E32" s="594"/>
      <c r="F32" s="594"/>
      <c r="G32" s="594"/>
      <c r="H32" s="71">
        <f>$I$23+H_BONUS_WORKSCOPE</f>
        <v>10</v>
      </c>
      <c r="I32" s="481" t="s">
        <v>274</v>
      </c>
      <c r="J32" s="591"/>
      <c r="L32" s="35"/>
    </row>
    <row r="33" spans="1:12" ht="14.25" customHeight="1" x14ac:dyDescent="0.2">
      <c r="A33" s="595" t="s">
        <v>287</v>
      </c>
      <c r="B33" s="596"/>
      <c r="C33" s="596"/>
      <c r="D33" s="596"/>
      <c r="E33" s="596"/>
      <c r="F33" s="596"/>
      <c r="G33" s="597"/>
      <c r="H33" s="460" t="e" cm="1">
        <f t="array" ref="H33">C_N1ModLvl S_take_off1</f>
        <v>#NAME?</v>
      </c>
      <c r="I33" s="482" t="s">
        <v>1</v>
      </c>
      <c r="J33" s="592"/>
      <c r="L33" s="35"/>
    </row>
    <row r="34" spans="1:12" ht="14.25" x14ac:dyDescent="0.2">
      <c r="A34" s="528" t="s">
        <v>261</v>
      </c>
      <c r="B34" s="529"/>
      <c r="C34" s="529"/>
      <c r="D34" s="529"/>
      <c r="E34" s="529"/>
      <c r="F34" s="529"/>
      <c r="G34" s="530"/>
      <c r="H34" s="66">
        <f>MAX((C_Vib1N1Pk S_pic_de_vib),(C_Vib1N1PkD S_pic_de_vib))</f>
        <v>0</v>
      </c>
      <c r="I34" s="67" t="s">
        <v>262</v>
      </c>
      <c r="J34" s="68" t="s">
        <v>533</v>
      </c>
      <c r="L34" s="69"/>
    </row>
    <row r="35" spans="1:12" ht="14.25" x14ac:dyDescent="0.2">
      <c r="A35" s="528" t="s">
        <v>263</v>
      </c>
      <c r="B35" s="529"/>
      <c r="C35" s="529"/>
      <c r="D35" s="529"/>
      <c r="E35" s="529"/>
      <c r="F35" s="529"/>
      <c r="G35" s="530"/>
      <c r="H35" s="66">
        <f>MAX((C_Vib2N1Pk S_pic_de_vib),(C_Vib2N1PkD S_pic_de_vib))</f>
        <v>0</v>
      </c>
      <c r="I35" s="67" t="s">
        <v>262</v>
      </c>
      <c r="J35" s="68" t="s">
        <v>533</v>
      </c>
      <c r="L35" s="69"/>
    </row>
    <row r="36" spans="1:12" ht="14.25" x14ac:dyDescent="0.2">
      <c r="A36" s="528" t="s">
        <v>264</v>
      </c>
      <c r="B36" s="529"/>
      <c r="C36" s="529"/>
      <c r="D36" s="529"/>
      <c r="E36" s="529"/>
      <c r="F36" s="529"/>
      <c r="G36" s="530"/>
      <c r="H36" s="66">
        <f>MAX((C_Vib1N2Pk S_pic_de_vib),(C_Vib1N2PkD S_pic_de_vib))</f>
        <v>0</v>
      </c>
      <c r="I36" s="67" t="s">
        <v>72</v>
      </c>
      <c r="J36" s="68" t="s">
        <v>296</v>
      </c>
      <c r="L36" s="69"/>
    </row>
    <row r="37" spans="1:12" ht="14.25" x14ac:dyDescent="0.2">
      <c r="A37" s="528" t="s">
        <v>265</v>
      </c>
      <c r="B37" s="529"/>
      <c r="C37" s="529"/>
      <c r="D37" s="529"/>
      <c r="E37" s="529"/>
      <c r="F37" s="529"/>
      <c r="G37" s="530"/>
      <c r="H37" s="66">
        <f>MAX((C_Vib2N2Pk S_pic_de_vib),(C_Vib2N2PkD S_pic_de_vib))</f>
        <v>0</v>
      </c>
      <c r="I37" s="67" t="s">
        <v>72</v>
      </c>
      <c r="J37" s="68" t="s">
        <v>296</v>
      </c>
      <c r="L37" s="69"/>
    </row>
    <row r="38" spans="1:12" ht="14.25" x14ac:dyDescent="0.2">
      <c r="A38" s="528" t="s">
        <v>266</v>
      </c>
      <c r="B38" s="529"/>
      <c r="C38" s="529"/>
      <c r="D38" s="529"/>
      <c r="E38" s="529"/>
      <c r="F38" s="529"/>
      <c r="G38" s="530"/>
      <c r="H38" s="70" t="e" cm="1">
        <f t="array" ref="H38">C_tAcc2 S_Accel</f>
        <v>#NAME?</v>
      </c>
      <c r="I38" s="67" t="s">
        <v>123</v>
      </c>
      <c r="J38" s="68" t="s">
        <v>267</v>
      </c>
      <c r="L38" s="69"/>
    </row>
    <row r="39" spans="1:12" ht="14.25" x14ac:dyDescent="0.2">
      <c r="A39" s="528" t="s">
        <v>268</v>
      </c>
      <c r="B39" s="529"/>
      <c r="C39" s="529"/>
      <c r="D39" s="529"/>
      <c r="E39" s="529"/>
      <c r="F39" s="529"/>
      <c r="G39" s="530"/>
      <c r="H39" s="70"/>
      <c r="I39" s="67" t="s">
        <v>269</v>
      </c>
      <c r="J39" s="68" t="s">
        <v>270</v>
      </c>
      <c r="L39" s="69"/>
    </row>
    <row r="40" spans="1:12" ht="14.25" x14ac:dyDescent="0.2">
      <c r="A40" s="528" t="s">
        <v>303</v>
      </c>
      <c r="B40" s="529"/>
      <c r="C40" s="529"/>
      <c r="D40" s="529"/>
      <c r="E40" s="529"/>
      <c r="F40" s="529"/>
      <c r="G40" s="530"/>
      <c r="H40" s="71" t="e" cm="1">
        <f t="array" ref="H40">C_MOPC S_take_off1</f>
        <v>#NAME?</v>
      </c>
      <c r="I40" s="67" t="s">
        <v>271</v>
      </c>
      <c r="J40" s="68" t="s">
        <v>272</v>
      </c>
      <c r="L40" s="69"/>
    </row>
    <row r="41" spans="1:12" ht="14.25" x14ac:dyDescent="0.2">
      <c r="A41" s="528" t="s">
        <v>273</v>
      </c>
      <c r="B41" s="529"/>
      <c r="C41" s="529"/>
      <c r="D41" s="529"/>
      <c r="E41" s="529"/>
      <c r="F41" s="529"/>
      <c r="G41" s="530"/>
      <c r="H41" s="71" t="e" cm="1">
        <f t="array" ref="H41">C_TEOSEL S_take_off1</f>
        <v>#NAME?</v>
      </c>
      <c r="I41" s="67" t="s">
        <v>274</v>
      </c>
      <c r="J41" s="68" t="s">
        <v>275</v>
      </c>
      <c r="L41" s="69"/>
    </row>
    <row r="42" spans="1:12" s="773" customFormat="1" ht="14.25" x14ac:dyDescent="0.2">
      <c r="A42" s="767" t="s">
        <v>276</v>
      </c>
      <c r="B42" s="768"/>
      <c r="C42" s="768"/>
      <c r="D42" s="768"/>
      <c r="E42" s="768"/>
      <c r="F42" s="768"/>
      <c r="G42" s="769"/>
      <c r="H42" s="770" cm="1">
        <f t="array" ref="H42">C_T_Soil S_take_off1</f>
        <v>0</v>
      </c>
      <c r="I42" s="771" t="s">
        <v>274</v>
      </c>
      <c r="J42" s="772" t="s">
        <v>277</v>
      </c>
      <c r="L42" s="774"/>
    </row>
    <row r="43" spans="1:12" ht="14.25" x14ac:dyDescent="0.2">
      <c r="A43" s="570" t="s">
        <v>278</v>
      </c>
      <c r="B43" s="571"/>
      <c r="C43" s="571"/>
      <c r="D43" s="571"/>
      <c r="E43" s="571"/>
      <c r="F43" s="571"/>
      <c r="G43" s="572"/>
      <c r="H43" s="72" t="e" cm="1">
        <f t="array" ref="H43">C_SG S_take_off1</f>
        <v>#NAME?</v>
      </c>
      <c r="I43" s="481" t="s">
        <v>224</v>
      </c>
      <c r="J43" s="73"/>
      <c r="L43" s="69"/>
    </row>
    <row r="44" spans="1:12" ht="14.25" x14ac:dyDescent="0.2">
      <c r="A44" s="570" t="s">
        <v>279</v>
      </c>
      <c r="B44" s="571"/>
      <c r="C44" s="571"/>
      <c r="D44" s="571"/>
      <c r="E44" s="571"/>
      <c r="F44" s="571"/>
      <c r="G44" s="572"/>
      <c r="H44" s="74">
        <f>H_LHV</f>
        <v>18619</v>
      </c>
      <c r="I44" s="481" t="s">
        <v>280</v>
      </c>
      <c r="J44" s="75"/>
      <c r="L44" s="69"/>
    </row>
    <row r="45" spans="1:12" ht="14.25" x14ac:dyDescent="0.2">
      <c r="A45" s="570" t="s">
        <v>281</v>
      </c>
      <c r="B45" s="571"/>
      <c r="C45" s="571"/>
      <c r="D45" s="571"/>
      <c r="E45" s="571"/>
      <c r="F45" s="571"/>
      <c r="G45" s="572"/>
      <c r="H45" s="71" cm="1">
        <f t="array" ref="H45">C_T_Fuel_Fac S_take_off1</f>
        <v>0</v>
      </c>
      <c r="I45" s="481" t="s">
        <v>274</v>
      </c>
      <c r="J45" s="75"/>
      <c r="L45" s="69"/>
    </row>
    <row r="46" spans="1:12" ht="14.25" x14ac:dyDescent="0.2">
      <c r="A46" s="528" t="s">
        <v>282</v>
      </c>
      <c r="B46" s="529"/>
      <c r="C46" s="529"/>
      <c r="D46" s="529"/>
      <c r="E46" s="529"/>
      <c r="F46" s="529"/>
      <c r="G46" s="530"/>
      <c r="H46" s="72" cm="1">
        <f t="array" ref="H46">C_EPR S_take_off1</f>
        <v>0</v>
      </c>
      <c r="I46" s="481" t="s">
        <v>1</v>
      </c>
      <c r="J46" s="75"/>
      <c r="L46" s="69"/>
    </row>
    <row r="47" spans="1:12" ht="14.25" x14ac:dyDescent="0.2">
      <c r="A47" s="528" t="s">
        <v>300</v>
      </c>
      <c r="B47" s="529"/>
      <c r="C47" s="529"/>
      <c r="D47" s="529"/>
      <c r="E47" s="529"/>
      <c r="F47" s="529"/>
      <c r="G47" s="530"/>
      <c r="H47" s="74" t="e" cm="1">
        <f t="array" ref="H47">C_W2AR S_take_off1</f>
        <v>#NAME?</v>
      </c>
      <c r="I47" s="481" t="s">
        <v>299</v>
      </c>
      <c r="J47" s="75"/>
      <c r="L47" s="69"/>
    </row>
    <row r="48" spans="1:12" ht="14.25" x14ac:dyDescent="0.2">
      <c r="A48" s="528" t="s">
        <v>283</v>
      </c>
      <c r="B48" s="529"/>
      <c r="C48" s="529"/>
      <c r="D48" s="529"/>
      <c r="E48" s="529"/>
      <c r="F48" s="529"/>
      <c r="G48" s="530"/>
      <c r="H48" s="72" t="e" cm="1">
        <f t="array" ref="H48">C_OCPR S_take_off1</f>
        <v>#NAME?</v>
      </c>
      <c r="I48" s="481" t="s">
        <v>1</v>
      </c>
      <c r="J48" s="75"/>
      <c r="L48" s="69"/>
    </row>
    <row r="49" spans="1:12" ht="14.25" x14ac:dyDescent="0.2">
      <c r="A49" s="528" t="s">
        <v>284</v>
      </c>
      <c r="B49" s="529"/>
      <c r="C49" s="529"/>
      <c r="D49" s="529"/>
      <c r="E49" s="529"/>
      <c r="F49" s="529"/>
      <c r="G49" s="530"/>
      <c r="H49" s="72" cm="1">
        <f t="array" ref="H49">C_TPR S_take_off1</f>
        <v>0</v>
      </c>
      <c r="I49" s="481" t="s">
        <v>1</v>
      </c>
      <c r="J49" s="75"/>
      <c r="L49" s="69"/>
    </row>
    <row r="50" spans="1:12" ht="14.25" x14ac:dyDescent="0.2">
      <c r="A50" s="528" t="s">
        <v>285</v>
      </c>
      <c r="B50" s="529"/>
      <c r="C50" s="529"/>
      <c r="D50" s="529"/>
      <c r="E50" s="529"/>
      <c r="F50" s="529"/>
      <c r="G50" s="530"/>
      <c r="H50" s="72" cm="1">
        <f t="array" ref="H50">C_CTR S_take_off1</f>
        <v>0</v>
      </c>
      <c r="I50" s="481" t="s">
        <v>1</v>
      </c>
      <c r="J50" s="75"/>
      <c r="L50" s="69"/>
    </row>
    <row r="51" spans="1:12" ht="15" thickBot="1" x14ac:dyDescent="0.25">
      <c r="A51" s="562" t="s">
        <v>286</v>
      </c>
      <c r="B51" s="563"/>
      <c r="C51" s="563"/>
      <c r="D51" s="563"/>
      <c r="E51" s="563"/>
      <c r="F51" s="563"/>
      <c r="G51" s="564"/>
      <c r="H51" s="461" cm="1">
        <f t="array" ref="H51">C_FPR S_take_off1</f>
        <v>0</v>
      </c>
      <c r="I51" s="485" t="s">
        <v>1</v>
      </c>
      <c r="J51" s="76"/>
      <c r="L51" s="69"/>
    </row>
    <row r="52" spans="1:12" ht="14.25" thickTop="1" thickBot="1" x14ac:dyDescent="0.25">
      <c r="A52" s="46"/>
      <c r="B52" s="46"/>
      <c r="C52" s="46"/>
      <c r="D52" s="46"/>
      <c r="E52" s="46"/>
      <c r="F52" s="46"/>
      <c r="G52" s="46"/>
      <c r="H52" s="46"/>
      <c r="I52" s="46"/>
      <c r="J52" s="46"/>
      <c r="L52" s="35"/>
    </row>
    <row r="53" spans="1:12" ht="15" thickTop="1" x14ac:dyDescent="0.2">
      <c r="A53" s="565" t="s">
        <v>531</v>
      </c>
      <c r="B53" s="566"/>
      <c r="C53" s="566"/>
      <c r="D53" s="566"/>
      <c r="E53" s="566"/>
      <c r="F53" s="566"/>
      <c r="G53" s="566"/>
      <c r="H53" s="64" t="s">
        <v>258</v>
      </c>
      <c r="I53" s="484" t="s">
        <v>259</v>
      </c>
      <c r="J53" s="65" t="s">
        <v>534</v>
      </c>
      <c r="L53" s="60"/>
    </row>
    <row r="54" spans="1:12" x14ac:dyDescent="0.2">
      <c r="A54" s="506" t="s">
        <v>442</v>
      </c>
      <c r="B54" s="507"/>
      <c r="C54" s="507"/>
      <c r="D54" s="507"/>
      <c r="E54" s="507"/>
      <c r="F54" s="507"/>
      <c r="G54" s="508"/>
      <c r="H54" s="256"/>
      <c r="I54" s="598"/>
      <c r="J54" s="503"/>
    </row>
    <row r="55" spans="1:12" x14ac:dyDescent="0.2">
      <c r="A55" s="506" t="s">
        <v>443</v>
      </c>
      <c r="B55" s="507"/>
      <c r="C55" s="507"/>
      <c r="D55" s="507"/>
      <c r="E55" s="507"/>
      <c r="F55" s="507"/>
      <c r="G55" s="508"/>
      <c r="H55" s="256"/>
      <c r="I55" s="599"/>
      <c r="J55" s="504"/>
    </row>
    <row r="56" spans="1:12" x14ac:dyDescent="0.2">
      <c r="A56" s="506" t="s">
        <v>444</v>
      </c>
      <c r="B56" s="507"/>
      <c r="C56" s="507"/>
      <c r="D56" s="507"/>
      <c r="E56" s="507"/>
      <c r="F56" s="507"/>
      <c r="G56" s="508"/>
      <c r="H56" s="256"/>
      <c r="I56" s="599"/>
      <c r="J56" s="504"/>
    </row>
    <row r="57" spans="1:12" x14ac:dyDescent="0.2">
      <c r="A57" s="567" t="s">
        <v>288</v>
      </c>
      <c r="B57" s="568"/>
      <c r="C57" s="568"/>
      <c r="D57" s="568"/>
      <c r="E57" s="568"/>
      <c r="F57" s="568"/>
      <c r="G57" s="568"/>
      <c r="H57" s="78"/>
      <c r="I57" s="599"/>
      <c r="J57" s="504"/>
    </row>
    <row r="58" spans="1:12" x14ac:dyDescent="0.2">
      <c r="A58" s="567" t="s">
        <v>289</v>
      </c>
      <c r="B58" s="568"/>
      <c r="C58" s="568"/>
      <c r="D58" s="568"/>
      <c r="E58" s="568"/>
      <c r="F58" s="568"/>
      <c r="G58" s="568"/>
      <c r="H58" s="78"/>
      <c r="I58" s="599"/>
      <c r="J58" s="504"/>
    </row>
    <row r="59" spans="1:12" x14ac:dyDescent="0.2">
      <c r="A59" s="567" t="s">
        <v>290</v>
      </c>
      <c r="B59" s="568"/>
      <c r="C59" s="568"/>
      <c r="D59" s="568"/>
      <c r="E59" s="568"/>
      <c r="F59" s="568"/>
      <c r="G59" s="568"/>
      <c r="H59" s="78"/>
      <c r="I59" s="599"/>
      <c r="J59" s="504"/>
    </row>
    <row r="60" spans="1:12" x14ac:dyDescent="0.2">
      <c r="A60" s="589" t="s">
        <v>306</v>
      </c>
      <c r="B60" s="590"/>
      <c r="C60" s="590"/>
      <c r="D60" s="590"/>
      <c r="E60" s="590"/>
      <c r="F60" s="590"/>
      <c r="G60" s="590"/>
      <c r="H60" s="93"/>
      <c r="I60" s="599"/>
      <c r="J60" s="504"/>
    </row>
    <row r="61" spans="1:12" x14ac:dyDescent="0.2">
      <c r="A61" s="567" t="s">
        <v>305</v>
      </c>
      <c r="B61" s="568"/>
      <c r="C61" s="568"/>
      <c r="D61" s="568"/>
      <c r="E61" s="568"/>
      <c r="F61" s="568"/>
      <c r="G61" s="568"/>
      <c r="H61" s="93"/>
      <c r="I61" s="599"/>
      <c r="J61" s="504"/>
    </row>
    <row r="62" spans="1:12" x14ac:dyDescent="0.2">
      <c r="A62" s="513" t="s">
        <v>291</v>
      </c>
      <c r="B62" s="514"/>
      <c r="C62" s="514"/>
      <c r="D62" s="514"/>
      <c r="E62" s="514"/>
      <c r="F62" s="514"/>
      <c r="G62" s="514"/>
      <c r="H62" s="74" cm="1">
        <f t="array" ref="H62">C_tRunning S_Shut_D_oil_fuel</f>
        <v>0</v>
      </c>
      <c r="I62" s="481" t="s">
        <v>218</v>
      </c>
      <c r="J62" s="504"/>
    </row>
    <row r="63" spans="1:12" ht="13.5" thickBot="1" x14ac:dyDescent="0.25">
      <c r="A63" s="559" t="s">
        <v>292</v>
      </c>
      <c r="B63" s="560"/>
      <c r="C63" s="560"/>
      <c r="D63" s="560"/>
      <c r="E63" s="560"/>
      <c r="F63" s="560"/>
      <c r="G63" s="560"/>
      <c r="H63" s="94" cm="1">
        <f t="array" ref="H63">C_FuelCons_EngTest S_Shut_D_oil_fuel</f>
        <v>0</v>
      </c>
      <c r="I63" s="483" t="s">
        <v>19</v>
      </c>
      <c r="J63" s="505"/>
    </row>
    <row r="64" spans="1:12" s="60" customFormat="1" ht="12.75" customHeight="1" thickTop="1" x14ac:dyDescent="0.2">
      <c r="A64" s="569"/>
      <c r="B64" s="569"/>
      <c r="C64" s="569"/>
      <c r="D64" s="569"/>
      <c r="E64" s="569"/>
      <c r="F64" s="81"/>
      <c r="G64" s="81"/>
      <c r="H64" s="82"/>
      <c r="I64" s="80"/>
      <c r="J64" s="80"/>
    </row>
    <row r="65" spans="1:10" x14ac:dyDescent="0.2">
      <c r="A65" s="561" t="s">
        <v>546</v>
      </c>
      <c r="B65" s="561"/>
      <c r="C65" s="561"/>
      <c r="D65" s="561"/>
      <c r="E65" s="561"/>
      <c r="F65" s="561"/>
      <c r="G65" s="561"/>
      <c r="H65" s="561"/>
      <c r="I65" s="561"/>
      <c r="J65" s="561"/>
    </row>
    <row r="66" spans="1:10" x14ac:dyDescent="0.2">
      <c r="A66" s="257"/>
      <c r="B66" s="257"/>
      <c r="C66" s="257"/>
      <c r="D66" s="257"/>
      <c r="E66" s="257"/>
      <c r="F66" s="257"/>
      <c r="G66" s="257"/>
      <c r="H66" s="257"/>
      <c r="I66" s="257"/>
      <c r="J66" s="257"/>
    </row>
    <row r="67" spans="1:10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</row>
    <row r="68" spans="1:10" x14ac:dyDescent="0.2">
      <c r="A68" s="83" t="s">
        <v>293</v>
      </c>
      <c r="B68" s="92"/>
      <c r="C68" s="92"/>
      <c r="D68" s="92"/>
      <c r="E68" s="84" t="s">
        <v>294</v>
      </c>
      <c r="F68" s="92"/>
      <c r="G68" s="92"/>
      <c r="H68" s="84" t="s">
        <v>295</v>
      </c>
      <c r="I68" s="92"/>
      <c r="J68" s="92"/>
    </row>
  </sheetData>
  <mergeCells count="87">
    <mergeCell ref="A40:G40"/>
    <mergeCell ref="A41:G41"/>
    <mergeCell ref="A59:G59"/>
    <mergeCell ref="A60:G60"/>
    <mergeCell ref="A61:G61"/>
    <mergeCell ref="J32:J33"/>
    <mergeCell ref="A32:G32"/>
    <mergeCell ref="A33:G33"/>
    <mergeCell ref="I54:I61"/>
    <mergeCell ref="C11:E11"/>
    <mergeCell ref="C15:C18"/>
    <mergeCell ref="D15:J15"/>
    <mergeCell ref="D16:H16"/>
    <mergeCell ref="I16:J16"/>
    <mergeCell ref="F11:G11"/>
    <mergeCell ref="H11:J11"/>
    <mergeCell ref="C12:E12"/>
    <mergeCell ref="F12:G12"/>
    <mergeCell ref="H12:J12"/>
    <mergeCell ref="A8:B8"/>
    <mergeCell ref="A15:A17"/>
    <mergeCell ref="B15:B17"/>
    <mergeCell ref="A12:B12"/>
    <mergeCell ref="A11:B11"/>
    <mergeCell ref="A63:G63"/>
    <mergeCell ref="A65:J65"/>
    <mergeCell ref="A51:G51"/>
    <mergeCell ref="A53:G53"/>
    <mergeCell ref="A57:G57"/>
    <mergeCell ref="A64:E64"/>
    <mergeCell ref="A56:G56"/>
    <mergeCell ref="A42:G42"/>
    <mergeCell ref="A43:G43"/>
    <mergeCell ref="A44:G44"/>
    <mergeCell ref="A58:G58"/>
    <mergeCell ref="A45:G45"/>
    <mergeCell ref="A46:G46"/>
    <mergeCell ref="A47:G47"/>
    <mergeCell ref="A48:G48"/>
    <mergeCell ref="A50:G50"/>
    <mergeCell ref="A49:G49"/>
    <mergeCell ref="A34:G34"/>
    <mergeCell ref="A35:G35"/>
    <mergeCell ref="A2:J3"/>
    <mergeCell ref="A5:E5"/>
    <mergeCell ref="F5:J5"/>
    <mergeCell ref="A6:B6"/>
    <mergeCell ref="C6:E6"/>
    <mergeCell ref="A7:B7"/>
    <mergeCell ref="H7:J7"/>
    <mergeCell ref="E21:E23"/>
    <mergeCell ref="F21:F23"/>
    <mergeCell ref="G21:G23"/>
    <mergeCell ref="H21:H23"/>
    <mergeCell ref="C8:E8"/>
    <mergeCell ref="F8:G8"/>
    <mergeCell ref="H8:J8"/>
    <mergeCell ref="H9:J9"/>
    <mergeCell ref="C10:E10"/>
    <mergeCell ref="A14:J14"/>
    <mergeCell ref="F6:G6"/>
    <mergeCell ref="H6:J6"/>
    <mergeCell ref="F10:G10"/>
    <mergeCell ref="H10:J10"/>
    <mergeCell ref="C7:E7"/>
    <mergeCell ref="F7:G7"/>
    <mergeCell ref="C9:E9"/>
    <mergeCell ref="F9:G9"/>
    <mergeCell ref="J54:J63"/>
    <mergeCell ref="A54:G54"/>
    <mergeCell ref="A55:G55"/>
    <mergeCell ref="E26:E28"/>
    <mergeCell ref="F26:F28"/>
    <mergeCell ref="G26:G28"/>
    <mergeCell ref="H26:H28"/>
    <mergeCell ref="A62:G62"/>
    <mergeCell ref="A31:G31"/>
    <mergeCell ref="A19:B19"/>
    <mergeCell ref="B20:B23"/>
    <mergeCell ref="A21:A23"/>
    <mergeCell ref="A24:B24"/>
    <mergeCell ref="B25:B28"/>
    <mergeCell ref="A26:A28"/>
    <mergeCell ref="A36:G36"/>
    <mergeCell ref="A37:G37"/>
    <mergeCell ref="A38:G38"/>
    <mergeCell ref="A39:G39"/>
  </mergeCells>
  <conditionalFormatting sqref="H39 H57:H59">
    <cfRule type="containsBlanks" dxfId="124" priority="73" stopIfTrue="1">
      <formula>LEN(TRIM(H39))=0</formula>
    </cfRule>
  </conditionalFormatting>
  <conditionalFormatting sqref="H26:I26 F24 F26:F27 C15 H19 H24 J43 J24 H21:J21 H22 J22 H27">
    <cfRule type="containsBlanks" dxfId="123" priority="72" stopIfTrue="1">
      <formula>LEN(TRIM(C15))=0</formula>
    </cfRule>
  </conditionalFormatting>
  <conditionalFormatting sqref="A5 F5 A14 A31 A53">
    <cfRule type="notContainsBlanks" dxfId="122" priority="71" stopIfTrue="1">
      <formula>LEN(TRIM(A5))&gt;0</formula>
    </cfRule>
  </conditionalFormatting>
  <conditionalFormatting sqref="H10">
    <cfRule type="containsBlanks" dxfId="121" priority="70" stopIfTrue="1">
      <formula>LEN(TRIM(H10))=0</formula>
    </cfRule>
  </conditionalFormatting>
  <conditionalFormatting sqref="J28">
    <cfRule type="containsBlanks" dxfId="120" priority="69" stopIfTrue="1">
      <formula>LEN(TRIM(J28))=0</formula>
    </cfRule>
  </conditionalFormatting>
  <conditionalFormatting sqref="J44">
    <cfRule type="containsBlanks" dxfId="119" priority="67" stopIfTrue="1">
      <formula>LEN(TRIM(J44))=0</formula>
    </cfRule>
  </conditionalFormatting>
  <conditionalFormatting sqref="J45">
    <cfRule type="containsBlanks" dxfId="118" priority="66" stopIfTrue="1">
      <formula>LEN(TRIM(J45))=0</formula>
    </cfRule>
  </conditionalFormatting>
  <conditionalFormatting sqref="D19">
    <cfRule type="containsBlanks" dxfId="117" priority="62" stopIfTrue="1">
      <formula>LEN(TRIM(D19))=0</formula>
    </cfRule>
  </conditionalFormatting>
  <conditionalFormatting sqref="E21:E22">
    <cfRule type="containsBlanks" dxfId="116" priority="61" stopIfTrue="1">
      <formula>LEN(TRIM(E21))=0</formula>
    </cfRule>
  </conditionalFormatting>
  <conditionalFormatting sqref="E19">
    <cfRule type="containsBlanks" dxfId="115" priority="60" stopIfTrue="1">
      <formula>LEN(TRIM(E19))=0</formula>
    </cfRule>
  </conditionalFormatting>
  <conditionalFormatting sqref="F19">
    <cfRule type="containsBlanks" dxfId="114" priority="59" stopIfTrue="1">
      <formula>LEN(TRIM(F19))=0</formula>
    </cfRule>
  </conditionalFormatting>
  <conditionalFormatting sqref="F21:F22">
    <cfRule type="containsBlanks" dxfId="113" priority="55" stopIfTrue="1">
      <formula>LEN(TRIM(F21))=0</formula>
    </cfRule>
  </conditionalFormatting>
  <conditionalFormatting sqref="D24">
    <cfRule type="containsBlanks" dxfId="112" priority="54" stopIfTrue="1">
      <formula>LEN(TRIM(D24))=0</formula>
    </cfRule>
  </conditionalFormatting>
  <conditionalFormatting sqref="E24">
    <cfRule type="containsBlanks" dxfId="111" priority="53" stopIfTrue="1">
      <formula>LEN(TRIM(E24))=0</formula>
    </cfRule>
  </conditionalFormatting>
  <conditionalFormatting sqref="J47">
    <cfRule type="containsBlanks" dxfId="110" priority="43" stopIfTrue="1">
      <formula>LEN(TRIM(J47))=0</formula>
    </cfRule>
  </conditionalFormatting>
  <conditionalFormatting sqref="E26:E27">
    <cfRule type="containsBlanks" dxfId="109" priority="52" stopIfTrue="1">
      <formula>LEN(TRIM(E26))=0</formula>
    </cfRule>
  </conditionalFormatting>
  <conditionalFormatting sqref="G19">
    <cfRule type="containsBlanks" dxfId="108" priority="50" stopIfTrue="1">
      <formula>LEN(TRIM(G19))=0</formula>
    </cfRule>
  </conditionalFormatting>
  <conditionalFormatting sqref="G24">
    <cfRule type="containsBlanks" dxfId="107" priority="49" stopIfTrue="1">
      <formula>LEN(TRIM(G24))=0</formula>
    </cfRule>
  </conditionalFormatting>
  <conditionalFormatting sqref="G26:G27">
    <cfRule type="containsBlanks" dxfId="106" priority="48" stopIfTrue="1">
      <formula>LEN(TRIM(G26))=0</formula>
    </cfRule>
  </conditionalFormatting>
  <conditionalFormatting sqref="G21:G22">
    <cfRule type="containsBlanks" dxfId="105" priority="47" stopIfTrue="1">
      <formula>LEN(TRIM(G21))=0</formula>
    </cfRule>
  </conditionalFormatting>
  <conditionalFormatting sqref="J26:J27">
    <cfRule type="containsBlanks" dxfId="104" priority="45" stopIfTrue="1">
      <formula>LEN(TRIM(J26))=0</formula>
    </cfRule>
  </conditionalFormatting>
  <conditionalFormatting sqref="J46">
    <cfRule type="containsBlanks" dxfId="103" priority="44" stopIfTrue="1">
      <formula>LEN(TRIM(J46))=0</formula>
    </cfRule>
  </conditionalFormatting>
  <conditionalFormatting sqref="J48">
    <cfRule type="containsBlanks" dxfId="102" priority="42" stopIfTrue="1">
      <formula>LEN(TRIM(J48))=0</formula>
    </cfRule>
  </conditionalFormatting>
  <conditionalFormatting sqref="J49">
    <cfRule type="containsBlanks" dxfId="101" priority="41" stopIfTrue="1">
      <formula>LEN(TRIM(J49))=0</formula>
    </cfRule>
  </conditionalFormatting>
  <conditionalFormatting sqref="J50">
    <cfRule type="containsBlanks" dxfId="100" priority="40" stopIfTrue="1">
      <formula>LEN(TRIM(J50))=0</formula>
    </cfRule>
  </conditionalFormatting>
  <conditionalFormatting sqref="J51">
    <cfRule type="containsBlanks" dxfId="99" priority="39" stopIfTrue="1">
      <formula>LEN(TRIM(J51))=0</formula>
    </cfRule>
  </conditionalFormatting>
  <conditionalFormatting sqref="H11">
    <cfRule type="containsBlanks" dxfId="98" priority="32" stopIfTrue="1">
      <formula>LEN(TRIM(H11))=0</formula>
    </cfRule>
  </conditionalFormatting>
  <conditionalFormatting sqref="H12">
    <cfRule type="containsBlanks" dxfId="97" priority="27" stopIfTrue="1">
      <formula>LEN(TRIM(H12))=0</formula>
    </cfRule>
  </conditionalFormatting>
  <conditionalFormatting sqref="C9">
    <cfRule type="containsBlanks" dxfId="96" priority="25" stopIfTrue="1">
      <formula>LEN(TRIM(C9))=0</formula>
    </cfRule>
  </conditionalFormatting>
  <conditionalFormatting sqref="H60">
    <cfRule type="containsBlanks" dxfId="95" priority="20" stopIfTrue="1">
      <formula>LEN(TRIM(H60))=0</formula>
    </cfRule>
  </conditionalFormatting>
  <conditionalFormatting sqref="H61">
    <cfRule type="containsBlanks" dxfId="94" priority="18" stopIfTrue="1">
      <formula>LEN(TRIM(H61))=0</formula>
    </cfRule>
  </conditionalFormatting>
  <conditionalFormatting sqref="I54">
    <cfRule type="containsBlanks" dxfId="93" priority="15" stopIfTrue="1">
      <formula>LEN(TRIM(I54))=0</formula>
    </cfRule>
  </conditionalFormatting>
  <conditionalFormatting sqref="H54">
    <cfRule type="containsBlanks" dxfId="92" priority="12" stopIfTrue="1">
      <formula>LEN(TRIM(H54))=0</formula>
    </cfRule>
  </conditionalFormatting>
  <conditionalFormatting sqref="H55">
    <cfRule type="containsBlanks" dxfId="91" priority="11" stopIfTrue="1">
      <formula>LEN(TRIM(H55))=0</formula>
    </cfRule>
  </conditionalFormatting>
  <conditionalFormatting sqref="H56">
    <cfRule type="containsBlanks" dxfId="90" priority="10" stopIfTrue="1">
      <formula>LEN(TRIM(H56))=0</formula>
    </cfRule>
  </conditionalFormatting>
  <conditionalFormatting sqref="J54">
    <cfRule type="containsBlanks" dxfId="89" priority="9" stopIfTrue="1">
      <formula>LEN(TRIM(J54))=0</formula>
    </cfRule>
  </conditionalFormatting>
  <conditionalFormatting sqref="J32">
    <cfRule type="containsBlanks" dxfId="88" priority="5" stopIfTrue="1">
      <formula>LEN(TRIM(J32))=0</formula>
    </cfRule>
  </conditionalFormatting>
  <conditionalFormatting sqref="I23">
    <cfRule type="containsBlanks" dxfId="87" priority="2" stopIfTrue="1">
      <formula>LEN(TRIM(I23))=0</formula>
    </cfRule>
  </conditionalFormatting>
  <conditionalFormatting sqref="I28">
    <cfRule type="containsBlanks" dxfId="86" priority="1" stopIfTrue="1">
      <formula>LEN(TRIM(I28))=0</formula>
    </cfRule>
  </conditionalFormatting>
  <pageMargins left="0.7" right="0.7" top="0.5" bottom="0" header="0.3" footer="0.3"/>
  <pageSetup paperSize="9" scale="8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0">
    <tabColor rgb="FFFF0000"/>
  </sheetPr>
  <dimension ref="D4:P25"/>
  <sheetViews>
    <sheetView workbookViewId="0">
      <selection activeCell="E6" sqref="E6"/>
    </sheetView>
    <sheetView workbookViewId="1"/>
  </sheetViews>
  <sheetFormatPr defaultColWidth="11.42578125" defaultRowHeight="12.75" x14ac:dyDescent="0.2"/>
  <cols>
    <col min="1" max="3" width="11.42578125" style="42" customWidth="1"/>
    <col min="4" max="4" width="59.85546875" style="42" customWidth="1"/>
    <col min="5" max="7" width="11.42578125" style="42" customWidth="1"/>
    <col min="8" max="8" width="11.42578125" style="42" hidden="1" customWidth="1"/>
    <col min="9" max="13" width="9.140625" style="42" hidden="1" customWidth="1"/>
    <col min="14" max="14" width="16" style="42" hidden="1" customWidth="1"/>
    <col min="15" max="15" width="9.140625" style="42" hidden="1" customWidth="1"/>
    <col min="16" max="16" width="11.42578125" style="42" hidden="1" customWidth="1"/>
    <col min="17" max="23" width="11.42578125" style="42" customWidth="1"/>
    <col min="24" max="16384" width="11.42578125" style="42"/>
  </cols>
  <sheetData>
    <row r="4" spans="4:15" ht="13.5" thickBot="1" x14ac:dyDescent="0.25"/>
    <row r="5" spans="4:15" ht="28.5" thickBot="1" x14ac:dyDescent="0.25">
      <c r="D5" s="259" t="s">
        <v>445</v>
      </c>
      <c r="E5" s="600">
        <v>1</v>
      </c>
      <c r="F5" s="601"/>
      <c r="G5" s="258"/>
      <c r="J5" s="42">
        <v>1</v>
      </c>
      <c r="K5" s="42" t="str">
        <f>IF($E$5=J5,"YES","NO")</f>
        <v>YES</v>
      </c>
      <c r="L5" s="263"/>
    </row>
    <row r="6" spans="4:15" x14ac:dyDescent="0.2">
      <c r="J6" s="42">
        <v>2</v>
      </c>
      <c r="K6" s="42" t="str">
        <f t="shared" ref="K6:K14" si="0">IF($E$5=J6,"YES","NO")</f>
        <v>NO</v>
      </c>
      <c r="L6" s="263"/>
    </row>
    <row r="7" spans="4:15" x14ac:dyDescent="0.2">
      <c r="J7" s="42">
        <v>3</v>
      </c>
      <c r="K7" s="42" t="str">
        <f t="shared" si="0"/>
        <v>NO</v>
      </c>
      <c r="L7" s="263"/>
    </row>
    <row r="8" spans="4:15" x14ac:dyDescent="0.2">
      <c r="J8" s="42">
        <v>4</v>
      </c>
      <c r="K8" s="42" t="str">
        <f t="shared" si="0"/>
        <v>NO</v>
      </c>
      <c r="L8" s="263"/>
    </row>
    <row r="9" spans="4:15" x14ac:dyDescent="0.2">
      <c r="J9" s="42">
        <v>5</v>
      </c>
      <c r="K9" s="42" t="str">
        <f t="shared" si="0"/>
        <v>NO</v>
      </c>
      <c r="L9" s="263"/>
    </row>
    <row r="10" spans="4:15" x14ac:dyDescent="0.2">
      <c r="J10" s="42">
        <v>6</v>
      </c>
      <c r="K10" s="42" t="str">
        <f t="shared" si="0"/>
        <v>NO</v>
      </c>
      <c r="L10" s="263"/>
    </row>
    <row r="11" spans="4:15" x14ac:dyDescent="0.2">
      <c r="J11" s="42">
        <v>7</v>
      </c>
      <c r="K11" s="42" t="str">
        <f t="shared" si="0"/>
        <v>NO</v>
      </c>
      <c r="L11" s="263"/>
    </row>
    <row r="12" spans="4:15" x14ac:dyDescent="0.2">
      <c r="J12" s="42">
        <v>8</v>
      </c>
      <c r="K12" s="42" t="str">
        <f t="shared" si="0"/>
        <v>NO</v>
      </c>
      <c r="L12" s="263"/>
    </row>
    <row r="13" spans="4:15" x14ac:dyDescent="0.2">
      <c r="J13" s="42">
        <v>9</v>
      </c>
      <c r="K13" s="42" t="str">
        <f t="shared" si="0"/>
        <v>NO</v>
      </c>
      <c r="L13" s="263"/>
    </row>
    <row r="14" spans="4:15" x14ac:dyDescent="0.2">
      <c r="J14" s="42">
        <v>10</v>
      </c>
      <c r="K14" s="42" t="str">
        <f t="shared" si="0"/>
        <v>NO</v>
      </c>
    </row>
    <row r="16" spans="4:15" ht="25.5" x14ac:dyDescent="0.2">
      <c r="N16" s="451" t="s">
        <v>517</v>
      </c>
      <c r="O16" s="452" t="s">
        <v>456</v>
      </c>
    </row>
    <row r="17" spans="9:15" x14ac:dyDescent="0.2">
      <c r="I17" s="262" t="str">
        <f>IF(OR($M$17=80,$M$17=85),"B8",IF(OR($M$17=94,$M$17=95),"B9","N/A"))</f>
        <v>N/A</v>
      </c>
      <c r="J17" s="262" t="str">
        <f>IF(OR($M$17=10,$M$17=14,$M$17=15),"B1",IF(OR($M$17=20,$M$17=22,$M$17=24,$M$17=25),"B2",IF(OR($M$17=34,$M$17=35),"B3",IF(OR($M$17=40,$M$17=44,$M$17=45),"B4",IF(OR($M$17=50,$M$17=55),"B5",IF(OR($M$17=60,$M$17=64,$M$17=65),"B6",IF(OR($M$17=75),"B7","N/A")))))))</f>
        <v>N/A</v>
      </c>
      <c r="K17" s="261" t="s">
        <v>455</v>
      </c>
      <c r="L17" s="262" t="str">
        <f>IF(J17="N/A",I17,J17)</f>
        <v>N/A</v>
      </c>
      <c r="M17" s="350">
        <f>IF(ISERROR(VLOOKUP(C_Engine_Rating S_take_off1, enum_list!$A$2:$F$102,1,1)),"N/A",VLOOKUP(C_Engine_Rating S_take_off1, enum_list!$A$2:$F$102,1,1))</f>
        <v>0</v>
      </c>
      <c r="N17" s="264" t="str">
        <f>IF(ISERROR('Calculation with N1 Modifier 5B'!$D$99),"N/A",'Calculation with N1 Modifier 5B'!$D$99)</f>
        <v>N/A</v>
      </c>
      <c r="O17" s="263" t="str">
        <f>IF(ISERROR('Summary TO 1'!$H$33),"N/A",'Summary TO 1'!$H$33)</f>
        <v>N/A</v>
      </c>
    </row>
    <row r="18" spans="9:15" x14ac:dyDescent="0.2">
      <c r="I18" s="262" t="str">
        <f>IF(OR($M$18=80,$M$18=85),"B8",IF(OR($M$18=94,$M$18=95),"B9","N/A"))</f>
        <v>N/A</v>
      </c>
      <c r="J18" s="262" t="str">
        <f>IF(OR($M$18=10,$M$18=14,$M$18=15),"B1",IF(OR($M$18=20,$M$18=22,$M$18=24,$M$18=25),"B2",IF(OR($M$18=34,$M$18=35),"B3",IF(OR($M$18=40,$M$18=44,$M$18=45),"B4",IF(OR($M$18=50,$M$18=55),"B5",IF(OR($M$18=60,$M$18=64,$M$18=65),"B6",IF(OR($M$18=75),"B7","N/A")))))))</f>
        <v>N/A</v>
      </c>
      <c r="K18" s="261" t="s">
        <v>447</v>
      </c>
      <c r="L18" s="262" t="str">
        <f t="shared" ref="L18:L25" si="1">IF(J18="N/A",I18,J18)</f>
        <v>N/A</v>
      </c>
      <c r="M18" s="350">
        <f>IF(ISERROR(VLOOKUP(C_Engine_Rating S_take_off2, enum_list!$A$2:$F$102,1,1)),"N/A",VLOOKUP(C_Engine_Rating S_take_off2, enum_list!$A$2:$F$102,1,1))</f>
        <v>0</v>
      </c>
      <c r="N18" s="264" t="str">
        <f>IF(ISERROR('Calculation with N1 Modifier 5B'!$E$99),"N/A",'Calculation with N1 Modifier 5B'!$E$99)</f>
        <v>N/A</v>
      </c>
      <c r="O18" s="263" t="str">
        <f>IF(ISERROR(#REF!),"N/A",#REF!)</f>
        <v>N/A</v>
      </c>
    </row>
    <row r="19" spans="9:15" x14ac:dyDescent="0.2">
      <c r="I19" s="262" t="str">
        <f>IF(OR($M$19=80,$M$19=85),"B8",IF(OR($M$19=94,$M$19=95),"B9","N/A"))</f>
        <v>N/A</v>
      </c>
      <c r="J19" s="262" t="str">
        <f>IF(OR($M$19=10,$M$19=14,$M$19=15),"B1",IF(OR($M$19=20,$M$19=22,$M$19=24,$M$19=25),"B2",IF(OR($M$19=34,$M$19=35),"B3",IF(OR($M$19=40,$M$19=44,$M$19=45),"B4",IF(OR($M$19=50,$M$19=55),"B5",IF(OR($M$19=60,$M$19=64,$M$19=65),"B6",IF(OR($M$19=75),"B7","N/A")))))))</f>
        <v>N/A</v>
      </c>
      <c r="K19" s="261" t="s">
        <v>448</v>
      </c>
      <c r="L19" s="262" t="str">
        <f t="shared" si="1"/>
        <v>N/A</v>
      </c>
      <c r="M19" s="350">
        <f>IF(ISERROR(VLOOKUP(C_Engine_Rating S_take_off3, enum_list!$A$2:$F$102,1,1)),"N/A",VLOOKUP(C_Engine_Rating S_take_off3, enum_list!$A$2:$F$102,1,1))</f>
        <v>0</v>
      </c>
      <c r="N19" s="264" t="str">
        <f>IF(ISERROR('Calculation with N1 Modifier 5B'!$F$99),"N/A",'Calculation with N1 Modifier 5B'!$F$99)</f>
        <v>N/A</v>
      </c>
      <c r="O19" s="263" t="str">
        <f>IF(ISERROR(#REF!),"N/A",#REF!)</f>
        <v>N/A</v>
      </c>
    </row>
    <row r="20" spans="9:15" x14ac:dyDescent="0.2">
      <c r="I20" s="262" t="str">
        <f>IF(OR($M$20=80,$M$20=85),"B8",IF(OR($M$20=94,$M$20=95),"B9","N/A"))</f>
        <v>N/A</v>
      </c>
      <c r="J20" s="262" t="str">
        <f>IF(OR($M$20=10,$M$20=14,$M$20=15),"B1",IF(OR($M$20=20,$M$20=22,$M$20=24,$M$20=25),"B2",IF(OR($M$20=34,$M$20=35),"B3",IF(OR($M$20=40,$M$20=44,$M$20=45),"B4",IF(OR($M$20=50,$M$20=55),"B5",IF(OR($M$20=60,$M$20=64,$M$20=65),"B6",IF(OR($M$20=75),"B7","N/A")))))))</f>
        <v>N/A</v>
      </c>
      <c r="K20" s="261" t="s">
        <v>449</v>
      </c>
      <c r="L20" s="262" t="str">
        <f t="shared" si="1"/>
        <v>N/A</v>
      </c>
      <c r="M20" s="350">
        <f>IF(ISERROR(VLOOKUP(C_Engine_Rating S_take_off4, enum_list!$A$2:$F$102,1,1)),"N/A",VLOOKUP(C_Engine_Rating S_take_off4, enum_list!$A$2:$F$102,1,1))</f>
        <v>0</v>
      </c>
      <c r="N20" s="264" t="str">
        <f>IF(ISERROR('Calculation with N1 Modifier 5B'!$G$99),"N/A",'Calculation with N1 Modifier 5B'!$G$99)</f>
        <v>N/A</v>
      </c>
      <c r="O20" s="263" t="str">
        <f>IF(ISERROR(#REF!),"N/A",#REF!)</f>
        <v>N/A</v>
      </c>
    </row>
    <row r="21" spans="9:15" x14ac:dyDescent="0.2">
      <c r="I21" s="262" t="str">
        <f>IF(OR($M$21=80,$M$21=85),"B8",IF(OR($M$21=94,$M$21=95),"B9","N/A"))</f>
        <v>N/A</v>
      </c>
      <c r="J21" s="262" t="str">
        <f>IF(OR($M$21=10,$M$21=14,$M$21=15),"B1",IF(OR($M$21=20,$M$21=22,$M$21=24,$M$21=25),"B2",IF(OR($M$21=34,$M$21=35),"B3",IF(OR($M$21=40,$M$21=44,$M$21=45),"B4",IF(OR($M$21=50,$M$21=55),"B5",IF(OR($M$21=60,$M$21=64,$M$21=65),"B6",IF(OR($M$21=75),"B7","N/A")))))))</f>
        <v>N/A</v>
      </c>
      <c r="K21" s="261" t="s">
        <v>450</v>
      </c>
      <c r="L21" s="262" t="str">
        <f t="shared" si="1"/>
        <v>N/A</v>
      </c>
      <c r="M21" s="350">
        <f>IF(ISERROR(VLOOKUP(C_Engine_Rating S_take_off5, enum_list!$A$2:$F$102,1,1)),"N/A",VLOOKUP(C_Engine_Rating S_take_off5, enum_list!$A$2:$F$102,1,1))</f>
        <v>0</v>
      </c>
      <c r="N21" s="264" t="str">
        <f>IF(ISERROR('Calculation with N1 Modifier 5B'!$H$99),"N/A",'Calculation with N1 Modifier 5B'!$H$99)</f>
        <v>N/A</v>
      </c>
      <c r="O21" s="263" t="str">
        <f>IF(ISERROR(#REF!),"N/A",#REF!)</f>
        <v>N/A</v>
      </c>
    </row>
    <row r="22" spans="9:15" x14ac:dyDescent="0.2">
      <c r="I22" s="262" t="str">
        <f>IF(OR($M$22=80,$M$22=85),"B8",IF(OR($M$22=94,$M$22=95),"B9","N/A"))</f>
        <v>N/A</v>
      </c>
      <c r="J22" s="262" t="str">
        <f>IF(OR($M$22=10,$M$22=14,$M$22=15),"B1",IF(OR($M$22=20,$M$22=22,$M$22=24,$M$22=25),"B2",IF(OR($M$22=34,$M$22=35),"B3",IF(OR($M$22=40,$M$22=44,$M$22=45),"B4",IF(OR($M$22=50,$M$22=55),"B5",IF(OR($M$22=60,$M$22=64,$M$22=65),"B6",IF(OR($M$22=75),"B7","N/A")))))))</f>
        <v>N/A</v>
      </c>
      <c r="K22" s="261" t="s">
        <v>451</v>
      </c>
      <c r="L22" s="262" t="str">
        <f t="shared" si="1"/>
        <v>N/A</v>
      </c>
      <c r="M22" s="350" t="str">
        <f>IF(ISERROR(VLOOKUP(C_Engine_Rating S_take_off6, enum_list!$A$2:$F$102,1,1)),"N/A",VLOOKUP(C_Engine_Rating S_take_off6, enum_list!$A$2:$F$102,1,1))</f>
        <v>N/A</v>
      </c>
      <c r="N22" s="264" t="str">
        <f>IF(ISERROR('Calculation with N1 Modifier 5B'!$I$99),"N/A",'Calculation with N1 Modifier 5B'!$I$99)</f>
        <v>N/A</v>
      </c>
      <c r="O22" s="263" t="str">
        <f>IF(ISERROR(#REF!),"N/A",#REF!)</f>
        <v>N/A</v>
      </c>
    </row>
    <row r="23" spans="9:15" x14ac:dyDescent="0.2">
      <c r="I23" s="262" t="str">
        <f>IF(OR($M$23=80,$M$23=85),"B8",IF(OR($M$23=94,$M$23=95),"B9","N/A"))</f>
        <v>N/A</v>
      </c>
      <c r="J23" s="262" t="str">
        <f>IF(OR($M$23=10,$M$23=14,$M$23=15),"B1",IF(OR($M$23=20,$M$23=22,$M$23=24,$M$23=25),"B2",IF(OR($M$23=34,$M$23=35),"B3",IF(OR($M$23=40,$M$23=44,$M$23=45),"B4",IF(OR($M$23=50,$M$23=55),"B5",IF(OR($M$23=60,$M$23=64,$M$23=65),"B6",IF(OR($M$23=75),"B7","N/A")))))))</f>
        <v>N/A</v>
      </c>
      <c r="K23" s="261" t="s">
        <v>452</v>
      </c>
      <c r="L23" s="262" t="str">
        <f t="shared" si="1"/>
        <v>N/A</v>
      </c>
      <c r="M23" s="350" t="str">
        <f>IF(ISERROR(VLOOKUP(C_Engine_Rating S_take_off7, enum_list!$A$2:$F$102,1,1)),"N/A",VLOOKUP(C_Engine_Rating S_take_off7, enum_list!$A$2:$F$102,1,1))</f>
        <v>N/A</v>
      </c>
      <c r="N23" s="264" t="str">
        <f>IF(ISERROR('Calculation with N1 Modifier 5B'!$J$99),"N/A",'Calculation with N1 Modifier 5B'!$J$99)</f>
        <v>N/A</v>
      </c>
      <c r="O23" s="263" t="str">
        <f>IF(ISERROR(#REF!),"N/A",#REF!)</f>
        <v>N/A</v>
      </c>
    </row>
    <row r="24" spans="9:15" x14ac:dyDescent="0.2">
      <c r="I24" s="262" t="str">
        <f>IF(OR($M$24=80,$M$24=85),"B8",IF(OR($M$24=94,$M$24=95),"B9","N/A"))</f>
        <v>N/A</v>
      </c>
      <c r="J24" s="262" t="str">
        <f>IF(OR($M$24=10,$M$24=14,$M$24=15),"B1",IF(OR($M$24=20,$M$24=22,$M$24=24,$M$24=25),"B2",IF(OR($M$24=34,$M$24=35),"B3",IF(OR($M$24=40,$M$24=44,$M$24=45),"B4",IF(OR($M$24=50,$M$24=55),"B5",IF(OR($M$24=60,$M$24=64,$M$24=65),"B6",IF(OR($M$24=75),"B7","N/A")))))))</f>
        <v>N/A</v>
      </c>
      <c r="K24" s="261" t="s">
        <v>453</v>
      </c>
      <c r="L24" s="262" t="str">
        <f t="shared" si="1"/>
        <v>N/A</v>
      </c>
      <c r="M24" s="350" t="str">
        <f>IF(ISERROR(VLOOKUP(C_Engine_Rating S_take_off8, enum_list!$A$2:$F$102,1,1)),"N/A",VLOOKUP(C_Engine_Rating S_take_off8, enum_list!$A$2:$F$102,1,1))</f>
        <v>N/A</v>
      </c>
      <c r="N24" s="264" t="str">
        <f>IF(ISERROR('Calculation with N1 Modifier 5B'!$K$99),"N/A",'Calculation with N1 Modifier 5B'!$K$99)</f>
        <v>N/A</v>
      </c>
      <c r="O24" s="263" t="str">
        <f>IF(ISERROR(#REF!),"N/A",#REF!)</f>
        <v>N/A</v>
      </c>
    </row>
    <row r="25" spans="9:15" x14ac:dyDescent="0.2">
      <c r="I25" s="262" t="str">
        <f>IF(OR($M$25=80,$M$25=85),"B8",IF(OR($M$25=94,$M$25=95),"B9","N/A"))</f>
        <v>N/A</v>
      </c>
      <c r="J25" s="262" t="str">
        <f>IF(OR($M$25=10,$M$25=14,$M$25=15),"B1",IF(OR($M$25=20,$M$25=22,$M$25=24,$M$25=25),"B2",IF(OR($M$25=34,$M$25=35),"B3",IF(OR($M$25=40,$M$25=44,$M$25=45),"B4",IF(OR($M$25=50,$M$25=55),"B5",IF(OR($M$25=60,$M$25=64,$M$25=65),"B6",IF(OR($M$25=75),"B7","N/A")))))))</f>
        <v>N/A</v>
      </c>
      <c r="K25" s="261" t="s">
        <v>454</v>
      </c>
      <c r="L25" s="262" t="str">
        <f t="shared" si="1"/>
        <v>N/A</v>
      </c>
      <c r="M25" s="350" t="str">
        <f>IF(ISERROR(VLOOKUP(C_Engine_Rating S_take_off9, enum_list!$A$2:$F$102,1,1)),"N/A",VLOOKUP(C_Engine_Rating S_take_off9, enum_list!$A$2:$F$102,1,1))</f>
        <v>N/A</v>
      </c>
      <c r="N25" s="264" t="str">
        <f>IF(ISERROR('Calculation with N1 Modifier 5B'!$L$99),"N/A",'Calculation with N1 Modifier 5B'!$L$99)</f>
        <v>N/A</v>
      </c>
      <c r="O25" s="263" t="str">
        <f>IF(ISERROR(#REF!),"N/A",#REF!)</f>
        <v>N/A</v>
      </c>
    </row>
  </sheetData>
  <sheetProtection password="E78E" sheet="1"/>
  <mergeCells count="1">
    <mergeCell ref="E5:F5"/>
  </mergeCells>
  <conditionalFormatting sqref="E5">
    <cfRule type="containsBlanks" dxfId="85" priority="1" stopIfTrue="1">
      <formula>LEN(TRIM(E5))=0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42032-A0E4-4FE2-920C-A38BC3C6D32F}">
  <sheetPr>
    <tabColor rgb="FF0070C0"/>
  </sheetPr>
  <dimension ref="A2:AQ100"/>
  <sheetViews>
    <sheetView zoomScale="70" zoomScaleNormal="70" workbookViewId="0">
      <selection activeCell="AJ35" sqref="AJ35"/>
    </sheetView>
    <sheetView workbookViewId="1"/>
  </sheetViews>
  <sheetFormatPr defaultRowHeight="12.75" x14ac:dyDescent="0.2"/>
  <sheetData>
    <row r="2" spans="2:28" ht="13.5" thickBot="1" x14ac:dyDescent="0.25"/>
    <row r="3" spans="2:28" ht="13.5" thickBot="1" x14ac:dyDescent="0.25">
      <c r="B3" s="602" t="s">
        <v>548</v>
      </c>
      <c r="C3" s="603"/>
      <c r="D3" s="603"/>
      <c r="E3" s="603"/>
      <c r="F3" s="603"/>
      <c r="G3" s="604"/>
      <c r="I3" s="602" t="s">
        <v>549</v>
      </c>
      <c r="J3" s="603"/>
      <c r="K3" s="603"/>
      <c r="L3" s="603"/>
      <c r="M3" s="603"/>
      <c r="N3" s="604"/>
      <c r="P3" s="602" t="s">
        <v>550</v>
      </c>
      <c r="Q3" s="603"/>
      <c r="R3" s="603"/>
      <c r="S3" s="603"/>
      <c r="T3" s="603"/>
      <c r="U3" s="604"/>
      <c r="W3" s="602" t="s">
        <v>551</v>
      </c>
      <c r="X3" s="603"/>
      <c r="Y3" s="603"/>
      <c r="Z3" s="603"/>
      <c r="AA3" s="603"/>
      <c r="AB3" s="604"/>
    </row>
    <row r="4" spans="2:28" ht="13.5" thickBot="1" x14ac:dyDescent="0.25">
      <c r="B4" s="317" t="s">
        <v>460</v>
      </c>
      <c r="C4" s="318" t="s">
        <v>459</v>
      </c>
      <c r="D4" s="318" t="s">
        <v>461</v>
      </c>
      <c r="E4" s="318" t="s">
        <v>462</v>
      </c>
      <c r="F4" s="318" t="s">
        <v>463</v>
      </c>
      <c r="G4" s="319" t="s">
        <v>464</v>
      </c>
      <c r="I4" s="317" t="s">
        <v>460</v>
      </c>
      <c r="J4" s="318" t="s">
        <v>459</v>
      </c>
      <c r="K4" s="318" t="s">
        <v>461</v>
      </c>
      <c r="L4" s="318" t="s">
        <v>462</v>
      </c>
      <c r="M4" s="318" t="s">
        <v>463</v>
      </c>
      <c r="N4" s="319" t="s">
        <v>464</v>
      </c>
      <c r="P4" s="317" t="s">
        <v>460</v>
      </c>
      <c r="Q4" s="318" t="s">
        <v>459</v>
      </c>
      <c r="R4" s="318" t="s">
        <v>461</v>
      </c>
      <c r="S4" s="318" t="s">
        <v>462</v>
      </c>
      <c r="T4" s="318" t="s">
        <v>463</v>
      </c>
      <c r="U4" s="319" t="s">
        <v>464</v>
      </c>
      <c r="W4" s="317" t="s">
        <v>460</v>
      </c>
      <c r="X4" s="318" t="s">
        <v>459</v>
      </c>
      <c r="Y4" s="318" t="s">
        <v>461</v>
      </c>
      <c r="Z4" s="318" t="s">
        <v>462</v>
      </c>
      <c r="AA4" s="318" t="s">
        <v>463</v>
      </c>
      <c r="AB4" s="319" t="s">
        <v>464</v>
      </c>
    </row>
    <row r="5" spans="2:28" x14ac:dyDescent="0.2">
      <c r="B5" s="605" t="s">
        <v>465</v>
      </c>
      <c r="C5" s="325">
        <v>0</v>
      </c>
      <c r="D5" s="320">
        <v>0</v>
      </c>
      <c r="E5" s="320">
        <v>0</v>
      </c>
      <c r="F5" s="320">
        <v>0</v>
      </c>
      <c r="G5" s="321">
        <v>0</v>
      </c>
      <c r="I5" s="605" t="s">
        <v>465</v>
      </c>
      <c r="J5" s="325">
        <v>0</v>
      </c>
      <c r="K5" s="320">
        <v>0</v>
      </c>
      <c r="L5" s="320">
        <v>0</v>
      </c>
      <c r="M5" s="320">
        <v>0</v>
      </c>
      <c r="N5" s="321">
        <v>0</v>
      </c>
      <c r="P5" s="605" t="s">
        <v>465</v>
      </c>
      <c r="Q5" s="325">
        <v>0</v>
      </c>
      <c r="R5" s="320">
        <v>0</v>
      </c>
      <c r="S5" s="320">
        <v>0</v>
      </c>
      <c r="T5" s="320">
        <v>0</v>
      </c>
      <c r="U5" s="321">
        <v>0</v>
      </c>
      <c r="W5" s="605" t="s">
        <v>465</v>
      </c>
      <c r="X5" s="325">
        <v>0</v>
      </c>
      <c r="Y5" s="320">
        <v>0</v>
      </c>
      <c r="Z5" s="320">
        <v>0</v>
      </c>
      <c r="AA5" s="320">
        <v>0</v>
      </c>
      <c r="AB5" s="321">
        <v>0</v>
      </c>
    </row>
    <row r="6" spans="2:28" x14ac:dyDescent="0.2">
      <c r="B6" s="606"/>
      <c r="C6" s="326">
        <v>1</v>
      </c>
      <c r="D6" s="316">
        <v>120</v>
      </c>
      <c r="E6" s="316">
        <v>2</v>
      </c>
      <c r="F6" s="316">
        <v>10</v>
      </c>
      <c r="G6" s="322">
        <v>12</v>
      </c>
      <c r="I6" s="606"/>
      <c r="J6" s="326">
        <v>1</v>
      </c>
      <c r="K6" s="316">
        <v>123</v>
      </c>
      <c r="L6" s="316">
        <v>2</v>
      </c>
      <c r="M6" s="316">
        <v>10</v>
      </c>
      <c r="N6" s="322">
        <v>12</v>
      </c>
      <c r="P6" s="606"/>
      <c r="Q6" s="326">
        <v>1</v>
      </c>
      <c r="R6" s="316">
        <v>125</v>
      </c>
      <c r="S6" s="316">
        <v>2</v>
      </c>
      <c r="T6" s="316">
        <v>11</v>
      </c>
      <c r="U6" s="322">
        <v>12</v>
      </c>
      <c r="W6" s="606"/>
      <c r="X6" s="326">
        <v>1</v>
      </c>
      <c r="Y6" s="316">
        <v>107</v>
      </c>
      <c r="Z6" s="316">
        <v>1</v>
      </c>
      <c r="AA6" s="316">
        <v>9</v>
      </c>
      <c r="AB6" s="322">
        <v>7</v>
      </c>
    </row>
    <row r="7" spans="2:28" x14ac:dyDescent="0.2">
      <c r="B7" s="606"/>
      <c r="C7" s="326">
        <v>2</v>
      </c>
      <c r="D7" s="316">
        <v>238</v>
      </c>
      <c r="E7" s="316">
        <v>4</v>
      </c>
      <c r="F7" s="316">
        <v>17</v>
      </c>
      <c r="G7" s="322">
        <v>23</v>
      </c>
      <c r="I7" s="606"/>
      <c r="J7" s="326">
        <v>2</v>
      </c>
      <c r="K7" s="316">
        <v>259</v>
      </c>
      <c r="L7" s="316">
        <v>4</v>
      </c>
      <c r="M7" s="316">
        <v>20</v>
      </c>
      <c r="N7" s="322">
        <v>24</v>
      </c>
      <c r="P7" s="606"/>
      <c r="Q7" s="326">
        <v>2</v>
      </c>
      <c r="R7" s="316">
        <v>250</v>
      </c>
      <c r="S7" s="316">
        <v>5</v>
      </c>
      <c r="T7" s="316">
        <v>21</v>
      </c>
      <c r="U7" s="322">
        <v>24</v>
      </c>
      <c r="W7" s="606"/>
      <c r="X7" s="326">
        <v>2</v>
      </c>
      <c r="Y7" s="316">
        <v>213</v>
      </c>
      <c r="Z7" s="316">
        <v>3</v>
      </c>
      <c r="AA7" s="316">
        <v>16</v>
      </c>
      <c r="AB7" s="322">
        <v>14</v>
      </c>
    </row>
    <row r="8" spans="2:28" x14ac:dyDescent="0.2">
      <c r="B8" s="606"/>
      <c r="C8" s="326">
        <v>3</v>
      </c>
      <c r="D8" s="316">
        <v>358</v>
      </c>
      <c r="E8" s="316">
        <v>6</v>
      </c>
      <c r="F8" s="316">
        <v>26</v>
      </c>
      <c r="G8" s="322">
        <v>35</v>
      </c>
      <c r="I8" s="606"/>
      <c r="J8" s="326">
        <v>3</v>
      </c>
      <c r="K8" s="316">
        <v>368</v>
      </c>
      <c r="L8" s="316">
        <v>7</v>
      </c>
      <c r="M8" s="316">
        <v>30</v>
      </c>
      <c r="N8" s="322">
        <v>36</v>
      </c>
      <c r="P8" s="606"/>
      <c r="Q8" s="326">
        <v>3</v>
      </c>
      <c r="R8" s="316">
        <v>375</v>
      </c>
      <c r="S8" s="316">
        <v>7</v>
      </c>
      <c r="T8" s="316">
        <v>31</v>
      </c>
      <c r="U8" s="322">
        <v>36</v>
      </c>
      <c r="W8" s="606"/>
      <c r="X8" s="326">
        <v>3</v>
      </c>
      <c r="Y8" s="316">
        <v>320</v>
      </c>
      <c r="Z8" s="316">
        <v>5</v>
      </c>
      <c r="AA8" s="316">
        <v>24</v>
      </c>
      <c r="AB8" s="322">
        <v>21</v>
      </c>
    </row>
    <row r="9" spans="2:28" x14ac:dyDescent="0.2">
      <c r="B9" s="606"/>
      <c r="C9" s="326">
        <v>4</v>
      </c>
      <c r="D9" s="316">
        <v>490</v>
      </c>
      <c r="E9" s="316">
        <v>8</v>
      </c>
      <c r="F9" s="316">
        <v>35</v>
      </c>
      <c r="G9" s="322">
        <v>59</v>
      </c>
      <c r="I9" s="606"/>
      <c r="J9" s="326">
        <v>4</v>
      </c>
      <c r="K9" s="316">
        <v>493</v>
      </c>
      <c r="L9" s="316">
        <v>9</v>
      </c>
      <c r="M9" s="316">
        <v>40</v>
      </c>
      <c r="N9" s="322">
        <v>48</v>
      </c>
      <c r="P9" s="606"/>
      <c r="Q9" s="326">
        <v>4</v>
      </c>
      <c r="R9" s="316">
        <v>499</v>
      </c>
      <c r="S9" s="316">
        <v>10</v>
      </c>
      <c r="T9" s="316">
        <v>41</v>
      </c>
      <c r="U9" s="322">
        <v>48</v>
      </c>
      <c r="W9" s="606"/>
      <c r="X9" s="326">
        <v>4</v>
      </c>
      <c r="Y9" s="316">
        <v>427</v>
      </c>
      <c r="Z9" s="316">
        <v>6</v>
      </c>
      <c r="AA9" s="316">
        <v>32</v>
      </c>
      <c r="AB9" s="322">
        <v>28</v>
      </c>
    </row>
    <row r="10" spans="2:28" x14ac:dyDescent="0.2">
      <c r="B10" s="606"/>
      <c r="C10" s="326">
        <v>5</v>
      </c>
      <c r="D10" s="316">
        <v>625</v>
      </c>
      <c r="E10" s="316">
        <v>10</v>
      </c>
      <c r="F10" s="316">
        <v>45</v>
      </c>
      <c r="G10" s="322">
        <v>57</v>
      </c>
      <c r="I10" s="606"/>
      <c r="J10" s="326">
        <v>5</v>
      </c>
      <c r="K10" s="316">
        <v>617</v>
      </c>
      <c r="L10" s="316">
        <v>11</v>
      </c>
      <c r="M10" s="316">
        <v>50</v>
      </c>
      <c r="N10" s="322">
        <v>60</v>
      </c>
      <c r="P10" s="606"/>
      <c r="Q10" s="326">
        <v>5</v>
      </c>
      <c r="R10" s="316">
        <v>617</v>
      </c>
      <c r="S10" s="316">
        <v>12</v>
      </c>
      <c r="T10" s="316">
        <v>52</v>
      </c>
      <c r="U10" s="322">
        <v>60</v>
      </c>
      <c r="W10" s="606"/>
      <c r="X10" s="326">
        <v>5</v>
      </c>
      <c r="Y10" s="316">
        <v>537</v>
      </c>
      <c r="Z10" s="316">
        <v>8</v>
      </c>
      <c r="AA10" s="316">
        <v>40</v>
      </c>
      <c r="AB10" s="322">
        <v>35</v>
      </c>
    </row>
    <row r="11" spans="2:28" x14ac:dyDescent="0.2">
      <c r="B11" s="606"/>
      <c r="C11" s="326">
        <v>6</v>
      </c>
      <c r="D11" s="316">
        <v>828</v>
      </c>
      <c r="E11" s="316">
        <v>14</v>
      </c>
      <c r="F11" s="316">
        <v>60</v>
      </c>
      <c r="G11" s="322">
        <v>75</v>
      </c>
      <c r="I11" s="606"/>
      <c r="J11" s="326">
        <v>6</v>
      </c>
      <c r="K11" s="316">
        <v>803</v>
      </c>
      <c r="L11" s="316">
        <v>14</v>
      </c>
      <c r="M11" s="316">
        <v>66</v>
      </c>
      <c r="N11" s="322">
        <v>78</v>
      </c>
      <c r="P11" s="606"/>
      <c r="Q11" s="326">
        <v>6</v>
      </c>
      <c r="R11" s="316">
        <v>788</v>
      </c>
      <c r="S11" s="316">
        <v>16</v>
      </c>
      <c r="T11" s="316">
        <v>68</v>
      </c>
      <c r="U11" s="322">
        <v>78</v>
      </c>
      <c r="W11" s="606"/>
      <c r="X11" s="326">
        <v>6</v>
      </c>
      <c r="Y11" s="316">
        <v>709</v>
      </c>
      <c r="Z11" s="316">
        <v>10</v>
      </c>
      <c r="AA11" s="316">
        <v>53</v>
      </c>
      <c r="AB11" s="322">
        <v>59</v>
      </c>
    </row>
    <row r="12" spans="2:28" ht="13.5" thickBot="1" x14ac:dyDescent="0.25">
      <c r="B12" s="607"/>
      <c r="C12" s="327">
        <v>7</v>
      </c>
      <c r="D12" s="323">
        <v>1110</v>
      </c>
      <c r="E12" s="323">
        <v>18</v>
      </c>
      <c r="F12" s="323">
        <v>80</v>
      </c>
      <c r="G12" s="324">
        <v>98</v>
      </c>
      <c r="I12" s="607"/>
      <c r="J12" s="327">
        <v>7</v>
      </c>
      <c r="K12" s="323">
        <v>1052</v>
      </c>
      <c r="L12" s="323">
        <v>18</v>
      </c>
      <c r="M12" s="323">
        <v>85</v>
      </c>
      <c r="N12" s="324">
        <v>102</v>
      </c>
      <c r="P12" s="607"/>
      <c r="Q12" s="327">
        <v>7</v>
      </c>
      <c r="R12" s="323">
        <v>1016</v>
      </c>
      <c r="S12" s="323">
        <v>20</v>
      </c>
      <c r="T12" s="323">
        <v>91</v>
      </c>
      <c r="U12" s="324">
        <v>102</v>
      </c>
      <c r="W12" s="607"/>
      <c r="X12" s="327">
        <v>7</v>
      </c>
      <c r="Y12" s="323">
        <v>913</v>
      </c>
      <c r="Z12" s="323">
        <v>13</v>
      </c>
      <c r="AA12" s="323">
        <v>69</v>
      </c>
      <c r="AB12" s="324">
        <v>59</v>
      </c>
    </row>
    <row r="13" spans="2:28" x14ac:dyDescent="0.2">
      <c r="B13" s="605" t="s">
        <v>466</v>
      </c>
      <c r="C13" s="325">
        <v>0</v>
      </c>
      <c r="D13" s="320">
        <v>0</v>
      </c>
      <c r="E13" s="320">
        <v>0</v>
      </c>
      <c r="F13" s="320">
        <v>0</v>
      </c>
      <c r="G13" s="321">
        <v>0</v>
      </c>
      <c r="I13" s="605" t="s">
        <v>466</v>
      </c>
      <c r="J13" s="325">
        <v>0</v>
      </c>
      <c r="K13" s="320">
        <v>0</v>
      </c>
      <c r="L13" s="320">
        <v>0</v>
      </c>
      <c r="M13" s="320">
        <v>0</v>
      </c>
      <c r="N13" s="321">
        <v>0</v>
      </c>
      <c r="P13" s="605" t="s">
        <v>466</v>
      </c>
      <c r="Q13" s="325">
        <v>0</v>
      </c>
      <c r="R13" s="320">
        <v>0</v>
      </c>
      <c r="S13" s="320">
        <v>0</v>
      </c>
      <c r="T13" s="320">
        <v>0</v>
      </c>
      <c r="U13" s="321">
        <v>0</v>
      </c>
      <c r="W13" s="605" t="s">
        <v>466</v>
      </c>
      <c r="X13" s="325">
        <v>0</v>
      </c>
      <c r="Y13" s="320">
        <v>0</v>
      </c>
      <c r="Z13" s="320">
        <v>0</v>
      </c>
      <c r="AA13" s="320">
        <v>0</v>
      </c>
      <c r="AB13" s="321">
        <v>0</v>
      </c>
    </row>
    <row r="14" spans="2:28" x14ac:dyDescent="0.2">
      <c r="B14" s="606"/>
      <c r="C14" s="326">
        <v>1</v>
      </c>
      <c r="D14" s="316">
        <v>116</v>
      </c>
      <c r="E14" s="316">
        <v>2</v>
      </c>
      <c r="F14" s="316">
        <v>8</v>
      </c>
      <c r="G14" s="322">
        <v>10</v>
      </c>
      <c r="I14" s="606"/>
      <c r="J14" s="326">
        <v>1</v>
      </c>
      <c r="K14" s="316">
        <v>116</v>
      </c>
      <c r="L14" s="316">
        <v>2</v>
      </c>
      <c r="M14" s="316">
        <v>8</v>
      </c>
      <c r="N14" s="322">
        <v>10</v>
      </c>
      <c r="P14" s="606"/>
      <c r="Q14" s="326">
        <v>1</v>
      </c>
      <c r="R14" s="316">
        <v>118</v>
      </c>
      <c r="S14" s="316">
        <v>2</v>
      </c>
      <c r="T14" s="316">
        <v>8</v>
      </c>
      <c r="U14" s="322">
        <v>10</v>
      </c>
      <c r="W14" s="606"/>
      <c r="X14" s="326">
        <v>1</v>
      </c>
      <c r="Y14" s="316">
        <v>96</v>
      </c>
      <c r="Z14" s="316">
        <v>1</v>
      </c>
      <c r="AA14" s="316">
        <v>8</v>
      </c>
      <c r="AB14" s="322">
        <v>6</v>
      </c>
    </row>
    <row r="15" spans="2:28" x14ac:dyDescent="0.2">
      <c r="B15" s="606"/>
      <c r="C15" s="326">
        <v>2</v>
      </c>
      <c r="D15" s="316">
        <v>242</v>
      </c>
      <c r="E15" s="316">
        <v>4</v>
      </c>
      <c r="F15" s="316">
        <v>17</v>
      </c>
      <c r="G15" s="322">
        <v>20</v>
      </c>
      <c r="I15" s="606"/>
      <c r="J15" s="326">
        <v>2</v>
      </c>
      <c r="K15" s="316">
        <v>242</v>
      </c>
      <c r="L15" s="316">
        <v>4</v>
      </c>
      <c r="M15" s="316">
        <v>17</v>
      </c>
      <c r="N15" s="322">
        <v>20</v>
      </c>
      <c r="P15" s="606"/>
      <c r="Q15" s="326">
        <v>2</v>
      </c>
      <c r="R15" s="316">
        <v>244</v>
      </c>
      <c r="S15" s="316">
        <v>4</v>
      </c>
      <c r="T15" s="316">
        <v>18</v>
      </c>
      <c r="U15" s="322">
        <v>20</v>
      </c>
      <c r="W15" s="606"/>
      <c r="X15" s="326">
        <v>2</v>
      </c>
      <c r="Y15" s="316">
        <v>190</v>
      </c>
      <c r="Z15" s="316">
        <v>2</v>
      </c>
      <c r="AA15" s="316">
        <v>16</v>
      </c>
      <c r="AB15" s="322">
        <v>12</v>
      </c>
    </row>
    <row r="16" spans="2:28" x14ac:dyDescent="0.2">
      <c r="B16" s="606"/>
      <c r="C16" s="326">
        <v>3</v>
      </c>
      <c r="D16" s="316">
        <v>369</v>
      </c>
      <c r="E16" s="316">
        <v>6</v>
      </c>
      <c r="F16" s="316">
        <v>27</v>
      </c>
      <c r="G16" s="322">
        <v>30</v>
      </c>
      <c r="I16" s="606"/>
      <c r="J16" s="326">
        <v>3</v>
      </c>
      <c r="K16" s="316">
        <v>369</v>
      </c>
      <c r="L16" s="316">
        <v>6</v>
      </c>
      <c r="M16" s="316">
        <v>27</v>
      </c>
      <c r="N16" s="322">
        <v>30</v>
      </c>
      <c r="P16" s="606"/>
      <c r="Q16" s="326">
        <v>3</v>
      </c>
      <c r="R16" s="316">
        <v>373</v>
      </c>
      <c r="S16" s="316">
        <v>6</v>
      </c>
      <c r="T16" s="316">
        <v>27</v>
      </c>
      <c r="U16" s="322">
        <v>30</v>
      </c>
      <c r="W16" s="606"/>
      <c r="X16" s="326">
        <v>3</v>
      </c>
      <c r="Y16" s="316">
        <v>285</v>
      </c>
      <c r="Z16" s="316">
        <v>3</v>
      </c>
      <c r="AA16" s="316">
        <v>24</v>
      </c>
      <c r="AB16" s="322">
        <v>18</v>
      </c>
    </row>
    <row r="17" spans="2:36" x14ac:dyDescent="0.2">
      <c r="B17" s="606"/>
      <c r="C17" s="326">
        <v>4</v>
      </c>
      <c r="D17" s="316">
        <v>497</v>
      </c>
      <c r="E17" s="316">
        <v>8</v>
      </c>
      <c r="F17" s="316">
        <v>36</v>
      </c>
      <c r="G17" s="322">
        <v>40</v>
      </c>
      <c r="I17" s="606"/>
      <c r="J17" s="326">
        <v>4</v>
      </c>
      <c r="K17" s="316">
        <v>497</v>
      </c>
      <c r="L17" s="316">
        <v>8</v>
      </c>
      <c r="M17" s="316">
        <v>36</v>
      </c>
      <c r="N17" s="322">
        <v>40</v>
      </c>
      <c r="P17" s="606"/>
      <c r="Q17" s="326">
        <v>4</v>
      </c>
      <c r="R17" s="316">
        <v>502</v>
      </c>
      <c r="S17" s="316">
        <v>8</v>
      </c>
      <c r="T17" s="316">
        <v>37</v>
      </c>
      <c r="U17" s="322">
        <v>40</v>
      </c>
      <c r="W17" s="606"/>
      <c r="X17" s="326">
        <v>4</v>
      </c>
      <c r="Y17" s="316">
        <v>396</v>
      </c>
      <c r="Z17" s="316">
        <v>5</v>
      </c>
      <c r="AA17" s="316">
        <v>33</v>
      </c>
      <c r="AB17" s="322">
        <v>25</v>
      </c>
      <c r="AF17" s="343"/>
      <c r="AG17" s="343"/>
      <c r="AH17" s="344"/>
      <c r="AI17" s="343"/>
      <c r="AJ17" s="343"/>
    </row>
    <row r="18" spans="2:36" x14ac:dyDescent="0.2">
      <c r="B18" s="606"/>
      <c r="C18" s="326">
        <v>5</v>
      </c>
      <c r="D18" s="316">
        <v>625</v>
      </c>
      <c r="E18" s="316">
        <v>10</v>
      </c>
      <c r="F18" s="316">
        <v>59</v>
      </c>
      <c r="G18" s="322">
        <v>50</v>
      </c>
      <c r="I18" s="606"/>
      <c r="J18" s="326">
        <v>5</v>
      </c>
      <c r="K18" s="316">
        <v>625</v>
      </c>
      <c r="L18" s="316">
        <v>10</v>
      </c>
      <c r="M18" s="316">
        <v>59</v>
      </c>
      <c r="N18" s="322">
        <v>50</v>
      </c>
      <c r="P18" s="606"/>
      <c r="Q18" s="326">
        <v>5</v>
      </c>
      <c r="R18" s="316">
        <v>631</v>
      </c>
      <c r="S18" s="316">
        <v>10</v>
      </c>
      <c r="T18" s="316">
        <v>59</v>
      </c>
      <c r="U18" s="322">
        <v>50</v>
      </c>
      <c r="W18" s="606"/>
      <c r="X18" s="326">
        <v>5</v>
      </c>
      <c r="Y18" s="316">
        <v>490</v>
      </c>
      <c r="Z18" s="316">
        <v>6</v>
      </c>
      <c r="AA18" s="316">
        <v>41</v>
      </c>
      <c r="AB18" s="322">
        <v>31</v>
      </c>
      <c r="AF18" s="343"/>
      <c r="AG18" s="343"/>
      <c r="AH18" s="344"/>
      <c r="AI18" s="343"/>
      <c r="AJ18" s="343"/>
    </row>
    <row r="19" spans="2:36" x14ac:dyDescent="0.2">
      <c r="B19" s="606"/>
      <c r="C19" s="326">
        <v>6</v>
      </c>
      <c r="D19" s="316">
        <v>819</v>
      </c>
      <c r="E19" s="316">
        <v>13</v>
      </c>
      <c r="F19" s="316">
        <v>60</v>
      </c>
      <c r="G19" s="322">
        <v>64</v>
      </c>
      <c r="I19" s="606"/>
      <c r="J19" s="326">
        <v>6</v>
      </c>
      <c r="K19" s="316">
        <v>819</v>
      </c>
      <c r="L19" s="316">
        <v>13</v>
      </c>
      <c r="M19" s="316">
        <v>60</v>
      </c>
      <c r="N19" s="322">
        <v>64</v>
      </c>
      <c r="P19" s="606"/>
      <c r="Q19" s="326">
        <v>6</v>
      </c>
      <c r="R19" s="316">
        <v>814</v>
      </c>
      <c r="S19" s="316">
        <v>13</v>
      </c>
      <c r="T19" s="316">
        <v>60</v>
      </c>
      <c r="U19" s="322">
        <v>64</v>
      </c>
      <c r="W19" s="606"/>
      <c r="X19" s="326">
        <v>6</v>
      </c>
      <c r="Y19" s="316">
        <v>632</v>
      </c>
      <c r="Z19" s="316">
        <v>7</v>
      </c>
      <c r="AA19" s="316">
        <v>53</v>
      </c>
      <c r="AB19" s="322">
        <v>40</v>
      </c>
      <c r="AF19" s="343"/>
      <c r="AG19" s="343"/>
      <c r="AH19" s="344"/>
      <c r="AI19" s="343"/>
      <c r="AJ19" s="343"/>
    </row>
    <row r="20" spans="2:36" ht="13.5" thickBot="1" x14ac:dyDescent="0.25">
      <c r="B20" s="607"/>
      <c r="C20" s="327">
        <v>7</v>
      </c>
      <c r="D20" s="323">
        <v>1094</v>
      </c>
      <c r="E20" s="323">
        <v>17</v>
      </c>
      <c r="F20" s="323">
        <v>81</v>
      </c>
      <c r="G20" s="324">
        <v>84</v>
      </c>
      <c r="I20" s="607"/>
      <c r="J20" s="327">
        <v>7</v>
      </c>
      <c r="K20" s="323">
        <v>1094</v>
      </c>
      <c r="L20" s="323">
        <v>17</v>
      </c>
      <c r="M20" s="323">
        <v>81</v>
      </c>
      <c r="N20" s="324">
        <v>84</v>
      </c>
      <c r="P20" s="607"/>
      <c r="Q20" s="327">
        <v>7</v>
      </c>
      <c r="R20" s="323">
        <v>1091</v>
      </c>
      <c r="S20" s="323">
        <v>17</v>
      </c>
      <c r="T20" s="323">
        <v>80</v>
      </c>
      <c r="U20" s="324">
        <v>84</v>
      </c>
      <c r="W20" s="607"/>
      <c r="X20" s="327">
        <v>7</v>
      </c>
      <c r="Y20" s="323">
        <v>822</v>
      </c>
      <c r="Z20" s="323">
        <v>9</v>
      </c>
      <c r="AA20" s="323">
        <v>69</v>
      </c>
      <c r="AB20" s="324">
        <v>52</v>
      </c>
      <c r="AF20" s="343"/>
      <c r="AG20" s="343"/>
      <c r="AH20" s="344"/>
      <c r="AI20" s="343"/>
      <c r="AJ20" s="343"/>
    </row>
    <row r="21" spans="2:36" x14ac:dyDescent="0.2">
      <c r="AF21" s="343"/>
      <c r="AG21" s="343"/>
      <c r="AH21" s="344"/>
      <c r="AI21" s="343"/>
      <c r="AJ21" s="343"/>
    </row>
    <row r="22" spans="2:36" x14ac:dyDescent="0.2">
      <c r="AF22" s="343"/>
      <c r="AG22" s="343"/>
      <c r="AH22" s="344"/>
      <c r="AI22" s="343"/>
      <c r="AJ22" s="343"/>
    </row>
    <row r="23" spans="2:36" ht="13.5" thickBot="1" x14ac:dyDescent="0.25">
      <c r="AF23" s="343"/>
      <c r="AG23" s="343"/>
      <c r="AH23" s="344"/>
      <c r="AI23" s="343"/>
      <c r="AJ23" s="343"/>
    </row>
    <row r="24" spans="2:36" ht="13.5" thickBot="1" x14ac:dyDescent="0.25">
      <c r="B24" s="602" t="s">
        <v>552</v>
      </c>
      <c r="C24" s="603"/>
      <c r="D24" s="603"/>
      <c r="E24" s="603"/>
      <c r="F24" s="603"/>
      <c r="G24" s="604"/>
      <c r="I24" s="602" t="s">
        <v>553</v>
      </c>
      <c r="J24" s="603"/>
      <c r="K24" s="603"/>
      <c r="L24" s="603"/>
      <c r="M24" s="603"/>
      <c r="N24" s="604"/>
      <c r="P24" s="602" t="s">
        <v>554</v>
      </c>
      <c r="Q24" s="603"/>
      <c r="R24" s="603"/>
      <c r="S24" s="603"/>
      <c r="T24" s="603"/>
      <c r="U24" s="604"/>
      <c r="W24" s="602" t="s">
        <v>555</v>
      </c>
      <c r="X24" s="603"/>
      <c r="Y24" s="603"/>
      <c r="Z24" s="603"/>
      <c r="AA24" s="603"/>
      <c r="AB24" s="604"/>
      <c r="AF24" s="343"/>
      <c r="AG24" s="343"/>
      <c r="AH24" s="344"/>
      <c r="AI24" s="343"/>
      <c r="AJ24" s="343"/>
    </row>
    <row r="25" spans="2:36" ht="13.5" thickBot="1" x14ac:dyDescent="0.25">
      <c r="B25" s="317" t="s">
        <v>460</v>
      </c>
      <c r="C25" s="318" t="s">
        <v>459</v>
      </c>
      <c r="D25" s="318" t="s">
        <v>461</v>
      </c>
      <c r="E25" s="318" t="s">
        <v>462</v>
      </c>
      <c r="F25" s="318" t="s">
        <v>463</v>
      </c>
      <c r="G25" s="319" t="s">
        <v>464</v>
      </c>
      <c r="I25" s="317" t="s">
        <v>460</v>
      </c>
      <c r="J25" s="318" t="s">
        <v>459</v>
      </c>
      <c r="K25" s="318" t="s">
        <v>461</v>
      </c>
      <c r="L25" s="318" t="s">
        <v>462</v>
      </c>
      <c r="M25" s="318" t="s">
        <v>463</v>
      </c>
      <c r="N25" s="319" t="s">
        <v>464</v>
      </c>
      <c r="P25" s="317" t="s">
        <v>460</v>
      </c>
      <c r="Q25" s="318" t="s">
        <v>459</v>
      </c>
      <c r="R25" s="318" t="s">
        <v>461</v>
      </c>
      <c r="S25" s="318" t="s">
        <v>462</v>
      </c>
      <c r="T25" s="318" t="s">
        <v>463</v>
      </c>
      <c r="U25" s="319" t="s">
        <v>464</v>
      </c>
      <c r="W25" s="317" t="s">
        <v>460</v>
      </c>
      <c r="X25" s="318" t="s">
        <v>459</v>
      </c>
      <c r="Y25" s="318" t="s">
        <v>461</v>
      </c>
      <c r="Z25" s="318" t="s">
        <v>462</v>
      </c>
      <c r="AA25" s="318" t="s">
        <v>463</v>
      </c>
      <c r="AB25" s="319" t="s">
        <v>464</v>
      </c>
      <c r="AF25" s="343"/>
      <c r="AG25" s="343"/>
      <c r="AH25" s="344"/>
      <c r="AI25" s="343"/>
      <c r="AJ25" s="343"/>
    </row>
    <row r="26" spans="2:36" x14ac:dyDescent="0.2">
      <c r="B26" s="605" t="s">
        <v>465</v>
      </c>
      <c r="C26" s="325">
        <v>0</v>
      </c>
      <c r="D26" s="320">
        <v>0</v>
      </c>
      <c r="E26" s="320">
        <v>0</v>
      </c>
      <c r="F26" s="320">
        <v>0</v>
      </c>
      <c r="G26" s="321">
        <v>0</v>
      </c>
      <c r="I26" s="605" t="s">
        <v>465</v>
      </c>
      <c r="J26" s="325">
        <v>0</v>
      </c>
      <c r="K26" s="320">
        <v>0</v>
      </c>
      <c r="L26" s="320">
        <v>0</v>
      </c>
      <c r="M26" s="320">
        <v>0</v>
      </c>
      <c r="N26" s="321">
        <v>0</v>
      </c>
      <c r="P26" s="605" t="s">
        <v>465</v>
      </c>
      <c r="Q26" s="325">
        <v>0</v>
      </c>
      <c r="R26" s="320">
        <v>0</v>
      </c>
      <c r="S26" s="320">
        <v>0</v>
      </c>
      <c r="T26" s="320">
        <v>0</v>
      </c>
      <c r="U26" s="321">
        <v>0</v>
      </c>
      <c r="W26" s="605" t="s">
        <v>465</v>
      </c>
      <c r="X26" s="325">
        <v>0</v>
      </c>
      <c r="Y26" s="320">
        <v>0</v>
      </c>
      <c r="Z26" s="320">
        <v>0</v>
      </c>
      <c r="AA26" s="320">
        <v>0</v>
      </c>
      <c r="AB26" s="321">
        <v>0</v>
      </c>
    </row>
    <row r="27" spans="2:36" x14ac:dyDescent="0.2">
      <c r="B27" s="606"/>
      <c r="C27" s="326">
        <v>1</v>
      </c>
      <c r="D27" s="316">
        <v>85</v>
      </c>
      <c r="E27" s="316">
        <v>2</v>
      </c>
      <c r="F27" s="316">
        <v>7</v>
      </c>
      <c r="G27" s="322">
        <v>6</v>
      </c>
      <c r="I27" s="606"/>
      <c r="J27" s="326">
        <v>1</v>
      </c>
      <c r="K27" s="316">
        <v>92</v>
      </c>
      <c r="L27" s="316">
        <v>1</v>
      </c>
      <c r="M27" s="316">
        <v>7</v>
      </c>
      <c r="N27" s="322">
        <v>6</v>
      </c>
      <c r="P27" s="606"/>
      <c r="Q27" s="326">
        <v>1</v>
      </c>
      <c r="R27" s="316">
        <v>85</v>
      </c>
      <c r="S27" s="316">
        <v>2</v>
      </c>
      <c r="T27" s="316">
        <v>7</v>
      </c>
      <c r="U27" s="322">
        <v>6</v>
      </c>
      <c r="W27" s="606"/>
      <c r="X27" s="326">
        <v>1</v>
      </c>
      <c r="Y27" s="316">
        <v>92</v>
      </c>
      <c r="Z27" s="316">
        <v>1</v>
      </c>
      <c r="AA27" s="316">
        <v>7</v>
      </c>
      <c r="AB27" s="322">
        <v>6</v>
      </c>
    </row>
    <row r="28" spans="2:36" x14ac:dyDescent="0.2">
      <c r="B28" s="606"/>
      <c r="C28" s="326">
        <v>2</v>
      </c>
      <c r="D28" s="316">
        <v>170</v>
      </c>
      <c r="E28" s="316">
        <v>2</v>
      </c>
      <c r="F28" s="316">
        <v>14</v>
      </c>
      <c r="G28" s="322">
        <v>12</v>
      </c>
      <c r="I28" s="606"/>
      <c r="J28" s="326">
        <v>2</v>
      </c>
      <c r="K28" s="316">
        <v>185</v>
      </c>
      <c r="L28" s="316">
        <v>3</v>
      </c>
      <c r="M28" s="316">
        <v>15</v>
      </c>
      <c r="N28" s="322">
        <v>12</v>
      </c>
      <c r="P28" s="606"/>
      <c r="Q28" s="326">
        <v>2</v>
      </c>
      <c r="R28" s="316">
        <v>170</v>
      </c>
      <c r="S28" s="316">
        <v>2</v>
      </c>
      <c r="T28" s="316">
        <v>14</v>
      </c>
      <c r="U28" s="322">
        <v>12</v>
      </c>
      <c r="W28" s="606"/>
      <c r="X28" s="326">
        <v>2</v>
      </c>
      <c r="Y28" s="316">
        <v>185</v>
      </c>
      <c r="Z28" s="316">
        <v>3</v>
      </c>
      <c r="AA28" s="316">
        <v>15</v>
      </c>
      <c r="AB28" s="322">
        <v>12</v>
      </c>
    </row>
    <row r="29" spans="2:36" x14ac:dyDescent="0.2">
      <c r="B29" s="606"/>
      <c r="C29" s="326">
        <v>3</v>
      </c>
      <c r="D29" s="316">
        <v>255</v>
      </c>
      <c r="E29" s="316">
        <v>4</v>
      </c>
      <c r="F29" s="316">
        <v>21</v>
      </c>
      <c r="G29" s="322">
        <v>18</v>
      </c>
      <c r="I29" s="606"/>
      <c r="J29" s="326">
        <v>3</v>
      </c>
      <c r="K29" s="316">
        <v>277</v>
      </c>
      <c r="L29" s="316">
        <v>4</v>
      </c>
      <c r="M29" s="316">
        <v>23</v>
      </c>
      <c r="N29" s="322">
        <v>18</v>
      </c>
      <c r="P29" s="606"/>
      <c r="Q29" s="326">
        <v>3</v>
      </c>
      <c r="R29" s="316">
        <v>255</v>
      </c>
      <c r="S29" s="316">
        <v>4</v>
      </c>
      <c r="T29" s="316">
        <v>21</v>
      </c>
      <c r="U29" s="322">
        <v>18</v>
      </c>
      <c r="W29" s="606"/>
      <c r="X29" s="326">
        <v>3</v>
      </c>
      <c r="Y29" s="316">
        <v>277</v>
      </c>
      <c r="Z29" s="316">
        <v>4</v>
      </c>
      <c r="AA29" s="316">
        <v>23</v>
      </c>
      <c r="AB29" s="322">
        <v>18</v>
      </c>
    </row>
    <row r="30" spans="2:36" x14ac:dyDescent="0.2">
      <c r="B30" s="606"/>
      <c r="C30" s="326">
        <v>4</v>
      </c>
      <c r="D30" s="316">
        <v>354</v>
      </c>
      <c r="E30" s="316">
        <v>5</v>
      </c>
      <c r="F30" s="316">
        <v>29</v>
      </c>
      <c r="G30" s="322">
        <v>25</v>
      </c>
      <c r="I30" s="606"/>
      <c r="J30" s="326">
        <v>4</v>
      </c>
      <c r="K30" s="316">
        <v>385</v>
      </c>
      <c r="L30" s="316">
        <v>6</v>
      </c>
      <c r="M30" s="316">
        <v>32</v>
      </c>
      <c r="N30" s="322">
        <v>25</v>
      </c>
      <c r="P30" s="606"/>
      <c r="Q30" s="326">
        <v>4</v>
      </c>
      <c r="R30" s="316">
        <v>354</v>
      </c>
      <c r="S30" s="316">
        <v>5</v>
      </c>
      <c r="T30" s="316">
        <v>29</v>
      </c>
      <c r="U30" s="322">
        <v>25</v>
      </c>
      <c r="W30" s="606"/>
      <c r="X30" s="326">
        <v>4</v>
      </c>
      <c r="Y30" s="316">
        <v>385</v>
      </c>
      <c r="Z30" s="316">
        <v>6</v>
      </c>
      <c r="AA30" s="316">
        <v>32</v>
      </c>
      <c r="AB30" s="322">
        <v>25</v>
      </c>
    </row>
    <row r="31" spans="2:36" x14ac:dyDescent="0.2">
      <c r="B31" s="606"/>
      <c r="C31" s="326">
        <v>5</v>
      </c>
      <c r="D31" s="316">
        <v>439</v>
      </c>
      <c r="E31" s="316">
        <v>6</v>
      </c>
      <c r="F31" s="316">
        <v>36</v>
      </c>
      <c r="G31" s="322">
        <v>31</v>
      </c>
      <c r="I31" s="606"/>
      <c r="J31" s="326">
        <v>5</v>
      </c>
      <c r="K31" s="316">
        <v>477</v>
      </c>
      <c r="L31" s="316">
        <v>7</v>
      </c>
      <c r="M31" s="316">
        <v>40</v>
      </c>
      <c r="N31" s="322">
        <v>31</v>
      </c>
      <c r="P31" s="606"/>
      <c r="Q31" s="326">
        <v>5</v>
      </c>
      <c r="R31" s="316">
        <v>439</v>
      </c>
      <c r="S31" s="316">
        <v>6</v>
      </c>
      <c r="T31" s="316">
        <v>36</v>
      </c>
      <c r="U31" s="322">
        <v>31</v>
      </c>
      <c r="W31" s="606"/>
      <c r="X31" s="326">
        <v>5</v>
      </c>
      <c r="Y31" s="316">
        <v>477</v>
      </c>
      <c r="Z31" s="316">
        <v>7</v>
      </c>
      <c r="AA31" s="316">
        <v>40</v>
      </c>
      <c r="AB31" s="322">
        <v>31</v>
      </c>
    </row>
    <row r="32" spans="2:36" x14ac:dyDescent="0.2">
      <c r="B32" s="606"/>
      <c r="C32" s="326">
        <v>6</v>
      </c>
      <c r="D32" s="316">
        <v>566</v>
      </c>
      <c r="E32" s="316">
        <v>8</v>
      </c>
      <c r="F32" s="316">
        <v>47</v>
      </c>
      <c r="G32" s="322">
        <v>40</v>
      </c>
      <c r="I32" s="606"/>
      <c r="J32" s="326">
        <v>6</v>
      </c>
      <c r="K32" s="316">
        <v>616</v>
      </c>
      <c r="L32" s="316">
        <v>9</v>
      </c>
      <c r="M32" s="316">
        <v>52</v>
      </c>
      <c r="N32" s="322">
        <v>40</v>
      </c>
      <c r="P32" s="606"/>
      <c r="Q32" s="326">
        <v>6</v>
      </c>
      <c r="R32" s="316">
        <v>566</v>
      </c>
      <c r="S32" s="316">
        <v>8</v>
      </c>
      <c r="T32" s="316">
        <v>47</v>
      </c>
      <c r="U32" s="322">
        <v>40</v>
      </c>
      <c r="W32" s="606"/>
      <c r="X32" s="326">
        <v>6</v>
      </c>
      <c r="Y32" s="316">
        <v>616</v>
      </c>
      <c r="Z32" s="316">
        <v>9</v>
      </c>
      <c r="AA32" s="316">
        <v>52</v>
      </c>
      <c r="AB32" s="322">
        <v>40</v>
      </c>
    </row>
    <row r="33" spans="1:43" ht="13.5" thickBot="1" x14ac:dyDescent="0.25">
      <c r="B33" s="607"/>
      <c r="C33" s="327">
        <v>7</v>
      </c>
      <c r="D33" s="323">
        <v>725</v>
      </c>
      <c r="E33" s="323">
        <v>10</v>
      </c>
      <c r="F33" s="323">
        <v>62</v>
      </c>
      <c r="G33" s="324">
        <v>52</v>
      </c>
      <c r="I33" s="607"/>
      <c r="J33" s="327">
        <v>7</v>
      </c>
      <c r="K33" s="323">
        <v>799</v>
      </c>
      <c r="L33" s="323">
        <v>12</v>
      </c>
      <c r="M33" s="323">
        <v>67</v>
      </c>
      <c r="N33" s="324">
        <v>52</v>
      </c>
      <c r="P33" s="607"/>
      <c r="Q33" s="327">
        <v>7</v>
      </c>
      <c r="R33" s="323">
        <v>725</v>
      </c>
      <c r="S33" s="323">
        <v>10</v>
      </c>
      <c r="T33" s="323">
        <v>62</v>
      </c>
      <c r="U33" s="324">
        <v>52</v>
      </c>
      <c r="W33" s="607"/>
      <c r="X33" s="327">
        <v>7</v>
      </c>
      <c r="Y33" s="323">
        <v>799</v>
      </c>
      <c r="Z33" s="323">
        <v>12</v>
      </c>
      <c r="AA33" s="323">
        <v>67</v>
      </c>
      <c r="AB33" s="324">
        <v>52</v>
      </c>
    </row>
    <row r="34" spans="1:43" x14ac:dyDescent="0.2">
      <c r="B34" s="605" t="s">
        <v>466</v>
      </c>
      <c r="C34" s="325">
        <v>0</v>
      </c>
      <c r="D34" s="320">
        <v>0</v>
      </c>
      <c r="E34" s="320">
        <v>0</v>
      </c>
      <c r="F34" s="320">
        <v>0</v>
      </c>
      <c r="G34" s="321">
        <v>0</v>
      </c>
      <c r="I34" s="605" t="s">
        <v>466</v>
      </c>
      <c r="J34" s="325">
        <v>0</v>
      </c>
      <c r="K34" s="320">
        <v>0</v>
      </c>
      <c r="L34" s="320">
        <v>0</v>
      </c>
      <c r="M34" s="320">
        <v>0</v>
      </c>
      <c r="N34" s="321">
        <v>0</v>
      </c>
      <c r="P34" s="605" t="s">
        <v>466</v>
      </c>
      <c r="Q34" s="325">
        <v>0</v>
      </c>
      <c r="R34" s="320">
        <v>0</v>
      </c>
      <c r="S34" s="320">
        <v>0</v>
      </c>
      <c r="T34" s="320">
        <v>0</v>
      </c>
      <c r="U34" s="321">
        <v>0</v>
      </c>
      <c r="W34" s="605" t="s">
        <v>466</v>
      </c>
      <c r="X34" s="325">
        <v>0</v>
      </c>
      <c r="Y34" s="320">
        <v>0</v>
      </c>
      <c r="Z34" s="320">
        <v>0</v>
      </c>
      <c r="AA34" s="320">
        <v>0</v>
      </c>
      <c r="AB34" s="321">
        <v>0</v>
      </c>
    </row>
    <row r="35" spans="1:43" x14ac:dyDescent="0.2">
      <c r="B35" s="606"/>
      <c r="C35" s="326">
        <v>1</v>
      </c>
      <c r="D35" s="316">
        <v>76</v>
      </c>
      <c r="E35" s="316">
        <v>1</v>
      </c>
      <c r="F35" s="316">
        <v>6</v>
      </c>
      <c r="G35" s="322">
        <v>6</v>
      </c>
      <c r="I35" s="606"/>
      <c r="J35" s="326">
        <v>1</v>
      </c>
      <c r="K35" s="316">
        <v>76</v>
      </c>
      <c r="L35" s="316">
        <v>1</v>
      </c>
      <c r="M35" s="316">
        <v>6</v>
      </c>
      <c r="N35" s="322">
        <v>6</v>
      </c>
      <c r="P35" s="606"/>
      <c r="Q35" s="326">
        <v>1</v>
      </c>
      <c r="R35" s="316">
        <v>60</v>
      </c>
      <c r="S35" s="316">
        <v>1</v>
      </c>
      <c r="T35" s="316">
        <v>6</v>
      </c>
      <c r="U35" s="322">
        <v>5</v>
      </c>
      <c r="W35" s="606"/>
      <c r="X35" s="326">
        <v>1</v>
      </c>
      <c r="Y35" s="316">
        <v>76</v>
      </c>
      <c r="Z35" s="316">
        <v>1</v>
      </c>
      <c r="AA35" s="316">
        <v>6</v>
      </c>
      <c r="AB35" s="322">
        <v>6</v>
      </c>
    </row>
    <row r="36" spans="1:43" x14ac:dyDescent="0.2">
      <c r="B36" s="606"/>
      <c r="C36" s="326">
        <v>2</v>
      </c>
      <c r="D36" s="316">
        <v>153</v>
      </c>
      <c r="E36" s="316">
        <v>2</v>
      </c>
      <c r="F36" s="316">
        <v>13</v>
      </c>
      <c r="G36" s="322">
        <v>12</v>
      </c>
      <c r="I36" s="606"/>
      <c r="J36" s="326">
        <v>2</v>
      </c>
      <c r="K36" s="316">
        <v>153</v>
      </c>
      <c r="L36" s="316">
        <v>2</v>
      </c>
      <c r="M36" s="316">
        <v>13</v>
      </c>
      <c r="N36" s="322">
        <v>12</v>
      </c>
      <c r="P36" s="606"/>
      <c r="Q36" s="326">
        <v>2</v>
      </c>
      <c r="R36" s="316">
        <v>120</v>
      </c>
      <c r="S36" s="316">
        <v>2</v>
      </c>
      <c r="T36" s="316">
        <v>11</v>
      </c>
      <c r="U36" s="322">
        <v>10</v>
      </c>
      <c r="W36" s="606"/>
      <c r="X36" s="326">
        <v>2</v>
      </c>
      <c r="Y36" s="316">
        <v>153</v>
      </c>
      <c r="Z36" s="316">
        <v>2</v>
      </c>
      <c r="AA36" s="316">
        <v>13</v>
      </c>
      <c r="AB36" s="322">
        <v>12</v>
      </c>
    </row>
    <row r="37" spans="1:43" x14ac:dyDescent="0.2">
      <c r="B37" s="606"/>
      <c r="C37" s="326">
        <v>3</v>
      </c>
      <c r="D37" s="316">
        <v>229</v>
      </c>
      <c r="E37" s="316">
        <v>3</v>
      </c>
      <c r="F37" s="316">
        <v>19</v>
      </c>
      <c r="G37" s="322">
        <v>19</v>
      </c>
      <c r="I37" s="606"/>
      <c r="J37" s="326">
        <v>3</v>
      </c>
      <c r="K37" s="316">
        <v>229</v>
      </c>
      <c r="L37" s="316">
        <v>3</v>
      </c>
      <c r="M37" s="316">
        <v>19</v>
      </c>
      <c r="N37" s="322">
        <v>18</v>
      </c>
      <c r="P37" s="606"/>
      <c r="Q37" s="326">
        <v>3</v>
      </c>
      <c r="R37" s="316">
        <v>167</v>
      </c>
      <c r="S37" s="316">
        <v>3</v>
      </c>
      <c r="T37" s="316">
        <v>15</v>
      </c>
      <c r="U37" s="322">
        <v>14</v>
      </c>
      <c r="W37" s="606"/>
      <c r="X37" s="326">
        <v>3</v>
      </c>
      <c r="Y37" s="316">
        <v>229</v>
      </c>
      <c r="Z37" s="316">
        <v>3</v>
      </c>
      <c r="AA37" s="316">
        <v>19</v>
      </c>
      <c r="AB37" s="322">
        <v>18</v>
      </c>
    </row>
    <row r="38" spans="1:43" x14ac:dyDescent="0.2">
      <c r="B38" s="606"/>
      <c r="C38" s="326">
        <v>4</v>
      </c>
      <c r="D38" s="316">
        <v>318</v>
      </c>
      <c r="E38" s="316">
        <v>4</v>
      </c>
      <c r="F38" s="316">
        <v>27</v>
      </c>
      <c r="G38" s="322">
        <v>25</v>
      </c>
      <c r="I38" s="606"/>
      <c r="J38" s="326">
        <v>4</v>
      </c>
      <c r="K38" s="316">
        <v>318</v>
      </c>
      <c r="L38" s="316">
        <v>4</v>
      </c>
      <c r="M38" s="316">
        <v>27</v>
      </c>
      <c r="N38" s="322">
        <v>25</v>
      </c>
      <c r="P38" s="606"/>
      <c r="Q38" s="326">
        <v>4</v>
      </c>
      <c r="R38" s="316">
        <v>239</v>
      </c>
      <c r="S38" s="316">
        <v>4</v>
      </c>
      <c r="T38" s="316">
        <v>22</v>
      </c>
      <c r="U38" s="322">
        <v>20</v>
      </c>
      <c r="W38" s="606"/>
      <c r="X38" s="326">
        <v>4</v>
      </c>
      <c r="Y38" s="316">
        <v>318</v>
      </c>
      <c r="Z38" s="316">
        <v>4</v>
      </c>
      <c r="AA38" s="316">
        <v>27</v>
      </c>
      <c r="AB38" s="322">
        <v>25</v>
      </c>
    </row>
    <row r="39" spans="1:43" x14ac:dyDescent="0.2">
      <c r="B39" s="606"/>
      <c r="C39" s="326">
        <v>5</v>
      </c>
      <c r="D39" s="316">
        <v>395</v>
      </c>
      <c r="E39" s="316">
        <v>5</v>
      </c>
      <c r="F39" s="316">
        <v>33</v>
      </c>
      <c r="G39" s="322">
        <v>31</v>
      </c>
      <c r="I39" s="606"/>
      <c r="J39" s="326">
        <v>5</v>
      </c>
      <c r="K39" s="316">
        <v>395</v>
      </c>
      <c r="L39" s="316">
        <v>5</v>
      </c>
      <c r="M39" s="316">
        <v>33</v>
      </c>
      <c r="N39" s="322">
        <v>31</v>
      </c>
      <c r="P39" s="606"/>
      <c r="Q39" s="326">
        <v>5</v>
      </c>
      <c r="R39" s="316">
        <v>299</v>
      </c>
      <c r="S39" s="316">
        <v>5</v>
      </c>
      <c r="T39" s="316">
        <v>28</v>
      </c>
      <c r="U39" s="322">
        <v>25</v>
      </c>
      <c r="W39" s="606"/>
      <c r="X39" s="326">
        <v>5</v>
      </c>
      <c r="Y39" s="316">
        <v>395</v>
      </c>
      <c r="Z39" s="316">
        <v>5</v>
      </c>
      <c r="AA39" s="316">
        <v>33</v>
      </c>
      <c r="AB39" s="322">
        <v>31</v>
      </c>
    </row>
    <row r="40" spans="1:43" x14ac:dyDescent="0.2">
      <c r="B40" s="606"/>
      <c r="C40" s="326">
        <v>6</v>
      </c>
      <c r="D40" s="316">
        <v>510</v>
      </c>
      <c r="E40" s="316">
        <v>7</v>
      </c>
      <c r="F40" s="316">
        <v>43</v>
      </c>
      <c r="G40" s="322">
        <v>40</v>
      </c>
      <c r="I40" s="606"/>
      <c r="J40" s="326">
        <v>6</v>
      </c>
      <c r="K40" s="316">
        <v>510</v>
      </c>
      <c r="L40" s="316">
        <v>7</v>
      </c>
      <c r="M40" s="316">
        <v>43</v>
      </c>
      <c r="N40" s="322">
        <v>40</v>
      </c>
      <c r="P40" s="606"/>
      <c r="Q40" s="326">
        <v>6</v>
      </c>
      <c r="R40" s="316">
        <v>383</v>
      </c>
      <c r="S40" s="316">
        <v>7</v>
      </c>
      <c r="T40" s="316">
        <v>35</v>
      </c>
      <c r="U40" s="322">
        <v>32</v>
      </c>
      <c r="W40" s="606"/>
      <c r="X40" s="326">
        <v>6</v>
      </c>
      <c r="Y40" s="316">
        <v>510</v>
      </c>
      <c r="Z40" s="316">
        <v>7</v>
      </c>
      <c r="AA40" s="316">
        <v>43</v>
      </c>
      <c r="AB40" s="322">
        <v>40</v>
      </c>
    </row>
    <row r="41" spans="1:43" ht="13.5" thickBot="1" x14ac:dyDescent="0.25">
      <c r="B41" s="607"/>
      <c r="C41" s="327">
        <v>7</v>
      </c>
      <c r="D41" s="323">
        <v>663</v>
      </c>
      <c r="E41" s="323">
        <v>8</v>
      </c>
      <c r="F41" s="323">
        <v>56</v>
      </c>
      <c r="G41" s="324">
        <v>52</v>
      </c>
      <c r="I41" s="607"/>
      <c r="J41" s="327">
        <v>7</v>
      </c>
      <c r="K41" s="323">
        <v>663</v>
      </c>
      <c r="L41" s="323">
        <v>8</v>
      </c>
      <c r="M41" s="323">
        <v>56</v>
      </c>
      <c r="N41" s="324">
        <v>52</v>
      </c>
      <c r="P41" s="607"/>
      <c r="Q41" s="327">
        <v>7</v>
      </c>
      <c r="R41" s="323">
        <v>502</v>
      </c>
      <c r="S41" s="323">
        <v>8</v>
      </c>
      <c r="T41" s="323">
        <v>59</v>
      </c>
      <c r="U41" s="324">
        <v>42</v>
      </c>
      <c r="W41" s="607"/>
      <c r="X41" s="327">
        <v>7</v>
      </c>
      <c r="Y41" s="323">
        <v>663</v>
      </c>
      <c r="Z41" s="323">
        <v>8</v>
      </c>
      <c r="AA41" s="323">
        <v>56</v>
      </c>
      <c r="AB41" s="324">
        <v>52</v>
      </c>
    </row>
    <row r="42" spans="1:43" ht="13.5" thickBot="1" x14ac:dyDescent="0.25">
      <c r="F42" s="22"/>
    </row>
    <row r="43" spans="1:43" ht="13.5" thickBot="1" x14ac:dyDescent="0.25">
      <c r="E43" s="608" t="s">
        <v>465</v>
      </c>
      <c r="F43" s="609"/>
      <c r="G43" s="609"/>
      <c r="H43" s="610"/>
      <c r="I43" s="333"/>
      <c r="J43" s="608" t="s">
        <v>465</v>
      </c>
      <c r="K43" s="609"/>
      <c r="L43" s="609"/>
      <c r="M43" s="610"/>
      <c r="N43" s="333"/>
      <c r="O43" s="608" t="s">
        <v>465</v>
      </c>
      <c r="P43" s="609"/>
      <c r="Q43" s="609"/>
      <c r="R43" s="610"/>
      <c r="S43" s="333"/>
      <c r="T43" s="608" t="s">
        <v>465</v>
      </c>
      <c r="U43" s="609"/>
      <c r="V43" s="609"/>
      <c r="W43" s="610"/>
      <c r="X43" s="333"/>
      <c r="Y43" s="608" t="s">
        <v>465</v>
      </c>
      <c r="Z43" s="609"/>
      <c r="AA43" s="609"/>
      <c r="AB43" s="610"/>
      <c r="AC43" s="333"/>
      <c r="AD43" s="608" t="s">
        <v>465</v>
      </c>
      <c r="AE43" s="609"/>
      <c r="AF43" s="609"/>
      <c r="AG43" s="610"/>
      <c r="AH43" s="333"/>
      <c r="AI43" s="608" t="s">
        <v>465</v>
      </c>
      <c r="AJ43" s="609"/>
      <c r="AK43" s="609"/>
      <c r="AL43" s="610"/>
      <c r="AM43" s="333"/>
      <c r="AN43" s="608" t="s">
        <v>465</v>
      </c>
      <c r="AO43" s="609"/>
      <c r="AP43" s="609"/>
      <c r="AQ43" s="610"/>
    </row>
    <row r="44" spans="1:43" ht="13.5" thickBot="1" x14ac:dyDescent="0.25">
      <c r="E44" s="611" t="s">
        <v>548</v>
      </c>
      <c r="F44" s="612"/>
      <c r="G44" s="612"/>
      <c r="H44" s="613"/>
      <c r="J44" s="611" t="s">
        <v>549</v>
      </c>
      <c r="K44" s="612"/>
      <c r="L44" s="612"/>
      <c r="M44" s="613"/>
      <c r="O44" s="611" t="s">
        <v>550</v>
      </c>
      <c r="P44" s="612"/>
      <c r="Q44" s="612"/>
      <c r="R44" s="613"/>
      <c r="T44" s="611" t="s">
        <v>551</v>
      </c>
      <c r="U44" s="612"/>
      <c r="V44" s="612"/>
      <c r="W44" s="613"/>
      <c r="Y44" s="611" t="s">
        <v>552</v>
      </c>
      <c r="Z44" s="612"/>
      <c r="AA44" s="612"/>
      <c r="AB44" s="613"/>
      <c r="AD44" s="611" t="s">
        <v>553</v>
      </c>
      <c r="AE44" s="612"/>
      <c r="AF44" s="612"/>
      <c r="AG44" s="613"/>
      <c r="AI44" s="611" t="s">
        <v>554</v>
      </c>
      <c r="AJ44" s="612"/>
      <c r="AK44" s="612"/>
      <c r="AL44" s="613"/>
      <c r="AN44" s="611" t="s">
        <v>555</v>
      </c>
      <c r="AO44" s="612"/>
      <c r="AP44" s="612"/>
      <c r="AQ44" s="613"/>
    </row>
    <row r="45" spans="1:43" ht="13.5" thickBot="1" x14ac:dyDescent="0.25">
      <c r="A45" s="608" t="s">
        <v>484</v>
      </c>
      <c r="B45" s="609"/>
      <c r="C45" s="610"/>
      <c r="D45" s="334"/>
      <c r="E45" s="317" t="s">
        <v>461</v>
      </c>
      <c r="F45" s="318" t="s">
        <v>462</v>
      </c>
      <c r="G45" s="318" t="s">
        <v>463</v>
      </c>
      <c r="H45" s="319" t="s">
        <v>464</v>
      </c>
      <c r="J45" s="317" t="s">
        <v>461</v>
      </c>
      <c r="K45" s="318" t="s">
        <v>462</v>
      </c>
      <c r="L45" s="318" t="s">
        <v>463</v>
      </c>
      <c r="M45" s="319" t="s">
        <v>464</v>
      </c>
      <c r="O45" s="317" t="s">
        <v>461</v>
      </c>
      <c r="P45" s="318" t="s">
        <v>462</v>
      </c>
      <c r="Q45" s="318" t="s">
        <v>463</v>
      </c>
      <c r="R45" s="319" t="s">
        <v>464</v>
      </c>
      <c r="T45" s="317" t="s">
        <v>461</v>
      </c>
      <c r="U45" s="318" t="s">
        <v>462</v>
      </c>
      <c r="V45" s="318" t="s">
        <v>463</v>
      </c>
      <c r="W45" s="319" t="s">
        <v>464</v>
      </c>
      <c r="Y45" s="317" t="s">
        <v>461</v>
      </c>
      <c r="Z45" s="318" t="s">
        <v>462</v>
      </c>
      <c r="AA45" s="318" t="s">
        <v>463</v>
      </c>
      <c r="AB45" s="319" t="s">
        <v>464</v>
      </c>
      <c r="AD45" s="317" t="s">
        <v>461</v>
      </c>
      <c r="AE45" s="318" t="s">
        <v>462</v>
      </c>
      <c r="AF45" s="318" t="s">
        <v>463</v>
      </c>
      <c r="AG45" s="319" t="s">
        <v>464</v>
      </c>
      <c r="AI45" s="317" t="s">
        <v>461</v>
      </c>
      <c r="AJ45" s="318" t="s">
        <v>462</v>
      </c>
      <c r="AK45" s="318" t="s">
        <v>463</v>
      </c>
      <c r="AL45" s="319" t="s">
        <v>464</v>
      </c>
      <c r="AN45" s="317" t="s">
        <v>461</v>
      </c>
      <c r="AO45" s="318" t="s">
        <v>462</v>
      </c>
      <c r="AP45" s="318" t="s">
        <v>463</v>
      </c>
      <c r="AQ45" s="319" t="s">
        <v>464</v>
      </c>
    </row>
    <row r="46" spans="1:43" x14ac:dyDescent="0.2">
      <c r="A46" s="354" t="str">
        <f>IF($O$72="N/A",$N$72,$O$72)</f>
        <v>N/A</v>
      </c>
      <c r="B46" s="335" t="s">
        <v>475</v>
      </c>
      <c r="C46" s="321">
        <f>IF(ISERROR(C_N1_MOD_LEV_CA S_take_off1),0,(C_N1_MOD_LEV_CA S_take_off1))</f>
        <v>0</v>
      </c>
      <c r="E46" s="330">
        <f>VLOOKUP(C46,$C$5:$G$12,2,FALSE)</f>
        <v>0</v>
      </c>
      <c r="F46" s="320">
        <f>VLOOKUP(C46,$C$5:$G$12,3,FALSE)</f>
        <v>0</v>
      </c>
      <c r="G46" s="320">
        <f>VLOOKUP(C46,$C$5:$G$12,4,FALSE)</f>
        <v>0</v>
      </c>
      <c r="H46" s="321">
        <f>VLOOKUP(C46,$C$5:$G$12,5,FALSE)</f>
        <v>0</v>
      </c>
      <c r="J46" s="330">
        <f t="shared" ref="J46:J54" si="0">VLOOKUP(C46,$J$5:$N$12,2,FALSE)</f>
        <v>0</v>
      </c>
      <c r="K46" s="320">
        <f t="shared" ref="K46:K54" si="1">VLOOKUP(C46,$J$5:$N$12,3,FALSE)</f>
        <v>0</v>
      </c>
      <c r="L46" s="320">
        <f t="shared" ref="L46:L54" si="2">VLOOKUP(C46,$J$5:$N$12,4,FALSE)</f>
        <v>0</v>
      </c>
      <c r="M46" s="321">
        <f t="shared" ref="M46:M54" si="3">VLOOKUP(C46,$J$5:$N$12,5,FALSE)</f>
        <v>0</v>
      </c>
      <c r="O46" s="330">
        <f t="shared" ref="O46:O54" si="4">VLOOKUP(C46,$Q$5:$U$12,2,FALSE)</f>
        <v>0</v>
      </c>
      <c r="P46" s="320">
        <f>VLOOKUP(C46,$Q$5:$U$12,3,FALSE)</f>
        <v>0</v>
      </c>
      <c r="Q46" s="320">
        <f t="shared" ref="Q46:Q54" si="5">VLOOKUP(C46,$Q$5:$U$12,4,FALSE)</f>
        <v>0</v>
      </c>
      <c r="R46" s="321">
        <f t="shared" ref="R46:R54" si="6">VLOOKUP(C46,$Q$5:$U$12,5,FALSE)</f>
        <v>0</v>
      </c>
      <c r="T46" s="330">
        <f>VLOOKUP($C$46,$X$5:$AB$12,2,FALSE)</f>
        <v>0</v>
      </c>
      <c r="U46" s="320">
        <f>VLOOKUP($C$46,$X$5:$AB$12,3,FALSE)</f>
        <v>0</v>
      </c>
      <c r="V46" s="320">
        <f>VLOOKUP($C$46,$X$5:$AB$12,4,FALSE)</f>
        <v>0</v>
      </c>
      <c r="W46" s="321">
        <f>VLOOKUP($C$46,$X$5:$AB$12,5,FALSE)</f>
        <v>0</v>
      </c>
      <c r="Y46" s="330">
        <f>VLOOKUP($C$46,$C$26:$G$33,2,FALSE)</f>
        <v>0</v>
      </c>
      <c r="Z46" s="320">
        <f>VLOOKUP($C$46,$C$26:$G$33,3,FALSE)</f>
        <v>0</v>
      </c>
      <c r="AA46" s="320">
        <f>VLOOKUP($C$46,$C$26:$G$33,4,FALSE)</f>
        <v>0</v>
      </c>
      <c r="AB46" s="321">
        <f>VLOOKUP($C$46,$C$26:$G$33,5,FALSE)</f>
        <v>0</v>
      </c>
      <c r="AD46" s="330">
        <f>VLOOKUP($C$46,$J$26:$N$33,2,FALSE)</f>
        <v>0</v>
      </c>
      <c r="AE46" s="320">
        <f>VLOOKUP($C$46,$J$26:$N$33,3,FALSE)</f>
        <v>0</v>
      </c>
      <c r="AF46" s="320">
        <f>VLOOKUP($C$46,$J$26:$N$33,4,FALSE)</f>
        <v>0</v>
      </c>
      <c r="AG46" s="321">
        <f>VLOOKUP($C$46,$J$26:$N$33,5,FALSE)</f>
        <v>0</v>
      </c>
      <c r="AI46" s="330">
        <f>VLOOKUP($C$46,$Q$26:$U$33,2,FALSE)</f>
        <v>0</v>
      </c>
      <c r="AJ46" s="320">
        <f>VLOOKUP($C$46,$Q$26:$U$33,3,FALSE)</f>
        <v>0</v>
      </c>
      <c r="AK46" s="320">
        <f>VLOOKUP($C$46,$Q$26:$U$33,4,FALSE)</f>
        <v>0</v>
      </c>
      <c r="AL46" s="321">
        <f>VLOOKUP($C$46,$Q$26:$U$33,5,FALSE)</f>
        <v>0</v>
      </c>
      <c r="AN46" s="330">
        <f>VLOOKUP($C$46,$X$26:$AB$33,2,FALSE)</f>
        <v>0</v>
      </c>
      <c r="AO46" s="320">
        <f>VLOOKUP($C$46,$X$26:$AB$33,3,FALSE)</f>
        <v>0</v>
      </c>
      <c r="AP46" s="320">
        <f>VLOOKUP($C$46,$X$26:$AB$33,4,FALSE)</f>
        <v>0</v>
      </c>
      <c r="AQ46" s="321">
        <f>VLOOKUP($C$46,$X$26:$AB$33,5,FALSE)</f>
        <v>0</v>
      </c>
    </row>
    <row r="47" spans="1:43" x14ac:dyDescent="0.2">
      <c r="A47" s="355" t="str">
        <f>IF($O$73="N/A",$N$73,$O$73)</f>
        <v>N/A</v>
      </c>
      <c r="B47" s="336" t="s">
        <v>476</v>
      </c>
      <c r="C47" s="322">
        <f>IF(ISERROR(C_N1_MOD_LEV_CA S_take_off2),0,(C_N1_MOD_LEV_CA S_take_off2))</f>
        <v>0</v>
      </c>
      <c r="E47" s="331">
        <f t="shared" ref="E47:E54" si="7">VLOOKUP(C47,$C$5:$G$12,2,FALSE)</f>
        <v>0</v>
      </c>
      <c r="F47" s="316">
        <f t="shared" ref="F47:F54" si="8">VLOOKUP(C47,$C$5:$G$12,3,FALSE)</f>
        <v>0</v>
      </c>
      <c r="G47" s="316">
        <f t="shared" ref="G47:G54" si="9">VLOOKUP(C47,$C$5:$G$12,4,FALSE)</f>
        <v>0</v>
      </c>
      <c r="H47" s="322">
        <f t="shared" ref="H47:H54" si="10">VLOOKUP(C47,$C$5:$G$12,5,FALSE)</f>
        <v>0</v>
      </c>
      <c r="J47" s="331">
        <f t="shared" si="0"/>
        <v>0</v>
      </c>
      <c r="K47" s="316">
        <f t="shared" si="1"/>
        <v>0</v>
      </c>
      <c r="L47" s="316">
        <f t="shared" si="2"/>
        <v>0</v>
      </c>
      <c r="M47" s="322">
        <f t="shared" si="3"/>
        <v>0</v>
      </c>
      <c r="O47" s="331">
        <f t="shared" si="4"/>
        <v>0</v>
      </c>
      <c r="P47" s="316">
        <f t="shared" ref="P47:P54" si="11">VLOOKUP(C47,$Q$5:$U$12,3,FALSE)</f>
        <v>0</v>
      </c>
      <c r="Q47" s="316">
        <f t="shared" si="5"/>
        <v>0</v>
      </c>
      <c r="R47" s="322">
        <f t="shared" si="6"/>
        <v>0</v>
      </c>
      <c r="T47" s="331">
        <f>VLOOKUP($C$47,$X$5:$AB$12,2,FALSE)</f>
        <v>0</v>
      </c>
      <c r="U47" s="316">
        <f>VLOOKUP($C$47,$X$5:$AB$12,3,FALSE)</f>
        <v>0</v>
      </c>
      <c r="V47" s="316">
        <f>VLOOKUP($C$47,$X$5:$AB$12,4,FALSE)</f>
        <v>0</v>
      </c>
      <c r="W47" s="322">
        <f>VLOOKUP($C$47,$X$5:$AB$12,5,FALSE)</f>
        <v>0</v>
      </c>
      <c r="Y47" s="331">
        <f>VLOOKUP($C$47,$C$26:$G$33,2,FALSE)</f>
        <v>0</v>
      </c>
      <c r="Z47" s="316">
        <f>VLOOKUP($C$47,$C$26:$G$33,3,FALSE)</f>
        <v>0</v>
      </c>
      <c r="AA47" s="316">
        <f>VLOOKUP($C$47,$C$26:$G$33,4,FALSE)</f>
        <v>0</v>
      </c>
      <c r="AB47" s="322">
        <f>VLOOKUP($C$47,$C$26:$G$33,5,FALSE)</f>
        <v>0</v>
      </c>
      <c r="AD47" s="331">
        <f>VLOOKUP($C$47,$J$26:$N$33,2,FALSE)</f>
        <v>0</v>
      </c>
      <c r="AE47" s="316">
        <f>VLOOKUP($C$47,$J$26:$N$33,3,FALSE)</f>
        <v>0</v>
      </c>
      <c r="AF47" s="316">
        <f>VLOOKUP($C$47,$J$26:$N$33,4,FALSE)</f>
        <v>0</v>
      </c>
      <c r="AG47" s="322">
        <f>VLOOKUP($C$47,$J$26:$N$33,5,FALSE)</f>
        <v>0</v>
      </c>
      <c r="AI47" s="331">
        <f>VLOOKUP($C$47,$Q$26:$U$33,2,FALSE)</f>
        <v>0</v>
      </c>
      <c r="AJ47" s="316">
        <f>VLOOKUP($C$47,$Q$26:$U$33,3,FALSE)</f>
        <v>0</v>
      </c>
      <c r="AK47" s="316">
        <f>VLOOKUP($C$47,$Q$26:$U$33,4,FALSE)</f>
        <v>0</v>
      </c>
      <c r="AL47" s="322">
        <f>VLOOKUP($C$47,$Q$26:$U$33,5,FALSE)</f>
        <v>0</v>
      </c>
      <c r="AN47" s="331">
        <f>VLOOKUP($C$47,$X$26:$AB$33,2,FALSE)</f>
        <v>0</v>
      </c>
      <c r="AO47" s="316">
        <f>VLOOKUP($C$47,$X$26:$AB$33,3,FALSE)</f>
        <v>0</v>
      </c>
      <c r="AP47" s="316">
        <f>VLOOKUP($C$47,$X$26:$AB$33,4,FALSE)</f>
        <v>0</v>
      </c>
      <c r="AQ47" s="322">
        <f>VLOOKUP($C$47,$X$26:$AB$33,5,FALSE)</f>
        <v>0</v>
      </c>
    </row>
    <row r="48" spans="1:43" x14ac:dyDescent="0.2">
      <c r="A48" s="355" t="str">
        <f>IF($O$74="N/A",$N$74,$O$74)</f>
        <v>N/A</v>
      </c>
      <c r="B48" s="336" t="s">
        <v>477</v>
      </c>
      <c r="C48" s="322">
        <f>IF(ISERROR(C_N1_MOD_LEV_CA S_take_off3),0,(C_N1_MOD_LEV_CA S_take_off3))</f>
        <v>0</v>
      </c>
      <c r="E48" s="331">
        <f t="shared" si="7"/>
        <v>0</v>
      </c>
      <c r="F48" s="316">
        <f t="shared" si="8"/>
        <v>0</v>
      </c>
      <c r="G48" s="316">
        <f t="shared" si="9"/>
        <v>0</v>
      </c>
      <c r="H48" s="322">
        <f t="shared" si="10"/>
        <v>0</v>
      </c>
      <c r="J48" s="331">
        <f t="shared" si="0"/>
        <v>0</v>
      </c>
      <c r="K48" s="316">
        <f t="shared" si="1"/>
        <v>0</v>
      </c>
      <c r="L48" s="316">
        <f t="shared" si="2"/>
        <v>0</v>
      </c>
      <c r="M48" s="322">
        <f t="shared" si="3"/>
        <v>0</v>
      </c>
      <c r="O48" s="331">
        <f t="shared" si="4"/>
        <v>0</v>
      </c>
      <c r="P48" s="316">
        <f t="shared" si="11"/>
        <v>0</v>
      </c>
      <c r="Q48" s="316">
        <f t="shared" si="5"/>
        <v>0</v>
      </c>
      <c r="R48" s="322">
        <f t="shared" si="6"/>
        <v>0</v>
      </c>
      <c r="T48" s="331">
        <f>VLOOKUP($C$48,$X$5:$AB$12,2,FALSE)</f>
        <v>0</v>
      </c>
      <c r="U48" s="316">
        <f>VLOOKUP($C$48,$X$5:$AB$12,3,FALSE)</f>
        <v>0</v>
      </c>
      <c r="V48" s="316">
        <f>VLOOKUP($C$48,$X$5:$AB$12,4,FALSE)</f>
        <v>0</v>
      </c>
      <c r="W48" s="322">
        <f>VLOOKUP($C$48,$X$5:$AB$12,5,FALSE)</f>
        <v>0</v>
      </c>
      <c r="Y48" s="331">
        <f>VLOOKUP($C$48,$C$26:$G$33,2,FALSE)</f>
        <v>0</v>
      </c>
      <c r="Z48" s="316">
        <f>VLOOKUP($C$48,$C$26:$G$33,3,FALSE)</f>
        <v>0</v>
      </c>
      <c r="AA48" s="316">
        <f>VLOOKUP($C$48,$C$26:$G$33,4,FALSE)</f>
        <v>0</v>
      </c>
      <c r="AB48" s="322">
        <f>VLOOKUP($C$48,$C$26:$G$33,5,FALSE)</f>
        <v>0</v>
      </c>
      <c r="AD48" s="331">
        <f>VLOOKUP($C$48,$J$26:$N$33,2,FALSE)</f>
        <v>0</v>
      </c>
      <c r="AE48" s="316">
        <f>VLOOKUP($C$48,$J$26:$N$33,3,FALSE)</f>
        <v>0</v>
      </c>
      <c r="AF48" s="316">
        <f>VLOOKUP($C$48,$J$26:$N$33,4,FALSE)</f>
        <v>0</v>
      </c>
      <c r="AG48" s="322">
        <f>VLOOKUP($C$48,$J$26:$N$33,5,FALSE)</f>
        <v>0</v>
      </c>
      <c r="AI48" s="331">
        <f>VLOOKUP($C$48,$Q$26:$U$33,2,FALSE)</f>
        <v>0</v>
      </c>
      <c r="AJ48" s="316">
        <f>VLOOKUP($C$48,$Q$26:$U$33,3,FALSE)</f>
        <v>0</v>
      </c>
      <c r="AK48" s="316">
        <f>VLOOKUP($C$48,$Q$26:$U$33,4,FALSE)</f>
        <v>0</v>
      </c>
      <c r="AL48" s="322">
        <f>VLOOKUP($C$48,$Q$26:$U$33,5,FALSE)</f>
        <v>0</v>
      </c>
      <c r="AN48" s="331">
        <f>VLOOKUP($C$48,$X$26:$AB$33,2,FALSE)</f>
        <v>0</v>
      </c>
      <c r="AO48" s="316">
        <f>VLOOKUP($C$48,$X$26:$AB$33,3,FALSE)</f>
        <v>0</v>
      </c>
      <c r="AP48" s="316">
        <f>VLOOKUP($C$48,$X$26:$AB$33,4,FALSE)</f>
        <v>0</v>
      </c>
      <c r="AQ48" s="322">
        <f>VLOOKUP($C$48,$X$26:$AB$33,5,FALSE)</f>
        <v>0</v>
      </c>
    </row>
    <row r="49" spans="1:43" x14ac:dyDescent="0.2">
      <c r="A49" s="355" t="str">
        <f>IF($O$75="N/A",$N$75,$O$75)</f>
        <v>N/A</v>
      </c>
      <c r="B49" s="336" t="s">
        <v>478</v>
      </c>
      <c r="C49" s="322">
        <f>IF(ISERROR(C_N1_MOD_LEV_CA S_take_off4),0,(C_N1_MOD_LEV_CA S_take_off4))</f>
        <v>0</v>
      </c>
      <c r="E49" s="331">
        <f t="shared" si="7"/>
        <v>0</v>
      </c>
      <c r="F49" s="316">
        <f t="shared" si="8"/>
        <v>0</v>
      </c>
      <c r="G49" s="316">
        <f t="shared" si="9"/>
        <v>0</v>
      </c>
      <c r="H49" s="322">
        <f t="shared" si="10"/>
        <v>0</v>
      </c>
      <c r="J49" s="331">
        <f t="shared" si="0"/>
        <v>0</v>
      </c>
      <c r="K49" s="316">
        <f t="shared" si="1"/>
        <v>0</v>
      </c>
      <c r="L49" s="316">
        <f t="shared" si="2"/>
        <v>0</v>
      </c>
      <c r="M49" s="322">
        <f t="shared" si="3"/>
        <v>0</v>
      </c>
      <c r="O49" s="331">
        <f t="shared" si="4"/>
        <v>0</v>
      </c>
      <c r="P49" s="316">
        <f t="shared" si="11"/>
        <v>0</v>
      </c>
      <c r="Q49" s="316">
        <f t="shared" si="5"/>
        <v>0</v>
      </c>
      <c r="R49" s="322">
        <f t="shared" si="6"/>
        <v>0</v>
      </c>
      <c r="T49" s="331">
        <f>VLOOKUP($C$49,$X$5:$AB$12,2,FALSE)</f>
        <v>0</v>
      </c>
      <c r="U49" s="316">
        <f>VLOOKUP($C$49,$X$5:$AB$12,3,FALSE)</f>
        <v>0</v>
      </c>
      <c r="V49" s="316">
        <f>VLOOKUP($C$49,$X$5:$AB$12,4,FALSE)</f>
        <v>0</v>
      </c>
      <c r="W49" s="322">
        <f>VLOOKUP($C$49,$X$5:$AB$12,5,FALSE)</f>
        <v>0</v>
      </c>
      <c r="Y49" s="331">
        <f>VLOOKUP($C$49,$C$26:$G$33,2,FALSE)</f>
        <v>0</v>
      </c>
      <c r="Z49" s="316">
        <f>VLOOKUP($C$49,$C$26:$G$33,3,FALSE)</f>
        <v>0</v>
      </c>
      <c r="AA49" s="316">
        <f>VLOOKUP($C$49,$C$26:$G$33,4,FALSE)</f>
        <v>0</v>
      </c>
      <c r="AB49" s="322">
        <f>VLOOKUP($C$49,$C$26:$G$33,5,FALSE)</f>
        <v>0</v>
      </c>
      <c r="AD49" s="331">
        <f>VLOOKUP($C$49,$J$26:$N$33,2,FALSE)</f>
        <v>0</v>
      </c>
      <c r="AE49" s="316">
        <f>VLOOKUP($C$49,$J$26:$N$33,3,FALSE)</f>
        <v>0</v>
      </c>
      <c r="AF49" s="316">
        <f>VLOOKUP($C$49,$J$26:$N$33,4,FALSE)</f>
        <v>0</v>
      </c>
      <c r="AG49" s="322">
        <f>VLOOKUP($C$49,$J$26:$N$33,5,FALSE)</f>
        <v>0</v>
      </c>
      <c r="AI49" s="331">
        <f>VLOOKUP($C$49,$Q$26:$U$33,2,FALSE)</f>
        <v>0</v>
      </c>
      <c r="AJ49" s="316">
        <f>VLOOKUP($C$49,$Q$26:$U$33,3,FALSE)</f>
        <v>0</v>
      </c>
      <c r="AK49" s="316">
        <f>VLOOKUP($C$49,$Q$26:$U$33,4,FALSE)</f>
        <v>0</v>
      </c>
      <c r="AL49" s="322">
        <f>VLOOKUP($C$49,$Q$26:$U$33,5,FALSE)</f>
        <v>0</v>
      </c>
      <c r="AN49" s="331">
        <f>VLOOKUP($C$49,$X$26:$AB$33,2,FALSE)</f>
        <v>0</v>
      </c>
      <c r="AO49" s="316">
        <f>VLOOKUP($C$49,$X$26:$AB$33,3,FALSE)</f>
        <v>0</v>
      </c>
      <c r="AP49" s="316">
        <f>VLOOKUP($C$49,$X$26:$AB$33,4,FALSE)</f>
        <v>0</v>
      </c>
      <c r="AQ49" s="322">
        <f>VLOOKUP($C$49,$X$26:$AB$33,5,FALSE)</f>
        <v>0</v>
      </c>
    </row>
    <row r="50" spans="1:43" x14ac:dyDescent="0.2">
      <c r="A50" s="355" t="str">
        <f>IF($O$76="N/A",$N$76,$O$76)</f>
        <v>N/A</v>
      </c>
      <c r="B50" s="336" t="s">
        <v>479</v>
      </c>
      <c r="C50" s="322">
        <f>IF(ISERROR(C_N1_MOD_LEV_CA S_take_off5),0,(C_N1_MOD_LEV_CA S_take_off5))</f>
        <v>0</v>
      </c>
      <c r="E50" s="331">
        <f t="shared" si="7"/>
        <v>0</v>
      </c>
      <c r="F50" s="316">
        <f t="shared" si="8"/>
        <v>0</v>
      </c>
      <c r="G50" s="316">
        <f t="shared" si="9"/>
        <v>0</v>
      </c>
      <c r="H50" s="322">
        <f t="shared" si="10"/>
        <v>0</v>
      </c>
      <c r="J50" s="331">
        <f t="shared" si="0"/>
        <v>0</v>
      </c>
      <c r="K50" s="316">
        <f t="shared" si="1"/>
        <v>0</v>
      </c>
      <c r="L50" s="316">
        <f t="shared" si="2"/>
        <v>0</v>
      </c>
      <c r="M50" s="322">
        <f t="shared" si="3"/>
        <v>0</v>
      </c>
      <c r="O50" s="331">
        <f t="shared" si="4"/>
        <v>0</v>
      </c>
      <c r="P50" s="316">
        <f t="shared" si="11"/>
        <v>0</v>
      </c>
      <c r="Q50" s="316">
        <f t="shared" si="5"/>
        <v>0</v>
      </c>
      <c r="R50" s="322">
        <f t="shared" si="6"/>
        <v>0</v>
      </c>
      <c r="T50" s="331">
        <f>VLOOKUP($C$50,$X$5:$AB$12,2,FALSE)</f>
        <v>0</v>
      </c>
      <c r="U50" s="316">
        <f>VLOOKUP($C$50,$X$5:$AB$12,3,FALSE)</f>
        <v>0</v>
      </c>
      <c r="V50" s="316">
        <f>VLOOKUP($C$50,$X$5:$AB$12,4,FALSE)</f>
        <v>0</v>
      </c>
      <c r="W50" s="322">
        <f>VLOOKUP($C$50,$X$5:$AB$12,5,FALSE)</f>
        <v>0</v>
      </c>
      <c r="Y50" s="331">
        <f>VLOOKUP($C$50,$C$26:$G$33,2,FALSE)</f>
        <v>0</v>
      </c>
      <c r="Z50" s="316">
        <f>VLOOKUP($C$50,$C$26:$G$33,3,FALSE)</f>
        <v>0</v>
      </c>
      <c r="AA50" s="316">
        <f>VLOOKUP($C$50,$C$26:$G$33,4,FALSE)</f>
        <v>0</v>
      </c>
      <c r="AB50" s="322">
        <f>VLOOKUP($C$50,$C$26:$G$33,5,FALSE)</f>
        <v>0</v>
      </c>
      <c r="AD50" s="331">
        <f>VLOOKUP($C$50,$J$26:$N$33,2,FALSE)</f>
        <v>0</v>
      </c>
      <c r="AE50" s="316">
        <f>VLOOKUP($C$50,$J$26:$N$33,3,FALSE)</f>
        <v>0</v>
      </c>
      <c r="AF50" s="316">
        <f>VLOOKUP($C$50,$J$26:$N$33,4,FALSE)</f>
        <v>0</v>
      </c>
      <c r="AG50" s="322">
        <f>VLOOKUP($C$50,$J$26:$N$33,5,FALSE)</f>
        <v>0</v>
      </c>
      <c r="AI50" s="331">
        <f>VLOOKUP($C$50,$Q$26:$U$33,2,FALSE)</f>
        <v>0</v>
      </c>
      <c r="AJ50" s="316">
        <f>VLOOKUP($C$50,$Q$26:$U$33,3,FALSE)</f>
        <v>0</v>
      </c>
      <c r="AK50" s="316">
        <f>VLOOKUP($C$50,$Q$26:$U$33,4,FALSE)</f>
        <v>0</v>
      </c>
      <c r="AL50" s="322">
        <f>VLOOKUP($C$50,$Q$26:$U$33,5,FALSE)</f>
        <v>0</v>
      </c>
      <c r="AN50" s="331">
        <f>VLOOKUP($C$50,$X$26:$AB$33,2,FALSE)</f>
        <v>0</v>
      </c>
      <c r="AO50" s="316">
        <f>VLOOKUP($C$50,$X$26:$AB$33,3,FALSE)</f>
        <v>0</v>
      </c>
      <c r="AP50" s="316">
        <f>VLOOKUP($C$50,$X$26:$AB$33,4,FALSE)</f>
        <v>0</v>
      </c>
      <c r="AQ50" s="322">
        <f>VLOOKUP($C$50,$X$26:$AB$33,5,FALSE)</f>
        <v>0</v>
      </c>
    </row>
    <row r="51" spans="1:43" x14ac:dyDescent="0.2">
      <c r="A51" s="355" t="str">
        <f>IF($O$77="N/A",$N$77,$O$77)</f>
        <v>N/A</v>
      </c>
      <c r="B51" s="336" t="s">
        <v>480</v>
      </c>
      <c r="C51" s="322">
        <f>IF(ISERROR(C_N1_MOD_LEV_CA S_take_off6),0,(C_N1_MOD_LEV_CA S_take_off6))</f>
        <v>0</v>
      </c>
      <c r="E51" s="331">
        <f t="shared" si="7"/>
        <v>0</v>
      </c>
      <c r="F51" s="316">
        <f t="shared" si="8"/>
        <v>0</v>
      </c>
      <c r="G51" s="316">
        <f t="shared" si="9"/>
        <v>0</v>
      </c>
      <c r="H51" s="322">
        <f t="shared" si="10"/>
        <v>0</v>
      </c>
      <c r="J51" s="331">
        <f t="shared" si="0"/>
        <v>0</v>
      </c>
      <c r="K51" s="316">
        <f t="shared" si="1"/>
        <v>0</v>
      </c>
      <c r="L51" s="316">
        <f t="shared" si="2"/>
        <v>0</v>
      </c>
      <c r="M51" s="322">
        <f t="shared" si="3"/>
        <v>0</v>
      </c>
      <c r="O51" s="331">
        <f t="shared" si="4"/>
        <v>0</v>
      </c>
      <c r="P51" s="316">
        <f t="shared" si="11"/>
        <v>0</v>
      </c>
      <c r="Q51" s="316">
        <f t="shared" si="5"/>
        <v>0</v>
      </c>
      <c r="R51" s="322">
        <f t="shared" si="6"/>
        <v>0</v>
      </c>
      <c r="T51" s="331">
        <f>VLOOKUP($C$51,$X$5:$AB$12,2,FALSE)</f>
        <v>0</v>
      </c>
      <c r="U51" s="316">
        <f>VLOOKUP($C$51,$X$5:$AB$12,3,FALSE)</f>
        <v>0</v>
      </c>
      <c r="V51" s="316">
        <f>VLOOKUP($C$51,$X$5:$AB$12,4,FALSE)</f>
        <v>0</v>
      </c>
      <c r="W51" s="322">
        <f>VLOOKUP($C$51,$X$5:$AB$12,5,FALSE)</f>
        <v>0</v>
      </c>
      <c r="Y51" s="331">
        <f>VLOOKUP($C$51,$C$26:$G$33,2,FALSE)</f>
        <v>0</v>
      </c>
      <c r="Z51" s="316">
        <f>VLOOKUP($C$51,$C$26:$G$33,3,FALSE)</f>
        <v>0</v>
      </c>
      <c r="AA51" s="316">
        <f>VLOOKUP($C$51,$C$26:$G$33,4,FALSE)</f>
        <v>0</v>
      </c>
      <c r="AB51" s="322">
        <f>VLOOKUP($C$51,$C$26:$G$33,5,FALSE)</f>
        <v>0</v>
      </c>
      <c r="AD51" s="331">
        <f>VLOOKUP($C$51,$J$26:$N$33,2,FALSE)</f>
        <v>0</v>
      </c>
      <c r="AE51" s="316">
        <f>VLOOKUP($C$51,$J$26:$N$33,3,FALSE)</f>
        <v>0</v>
      </c>
      <c r="AF51" s="316">
        <f>VLOOKUP($C$51,$J$26:$N$33,4,FALSE)</f>
        <v>0</v>
      </c>
      <c r="AG51" s="322">
        <f>VLOOKUP($C$51,$J$26:$N$33,5,FALSE)</f>
        <v>0</v>
      </c>
      <c r="AI51" s="331">
        <f>VLOOKUP($C$51,$Q$26:$U$33,2,FALSE)</f>
        <v>0</v>
      </c>
      <c r="AJ51" s="316">
        <f>VLOOKUP($C$51,$Q$26:$U$33,3,FALSE)</f>
        <v>0</v>
      </c>
      <c r="AK51" s="316">
        <f>VLOOKUP($C$51,$Q$26:$U$33,4,FALSE)</f>
        <v>0</v>
      </c>
      <c r="AL51" s="322">
        <f>VLOOKUP($C$51,$Q$26:$U$33,5,FALSE)</f>
        <v>0</v>
      </c>
      <c r="AN51" s="331">
        <f>VLOOKUP($C$51,$X$26:$AB$33,2,FALSE)</f>
        <v>0</v>
      </c>
      <c r="AO51" s="316">
        <f>VLOOKUP($C$51,$X$26:$AB$33,3,FALSE)</f>
        <v>0</v>
      </c>
      <c r="AP51" s="316">
        <f>VLOOKUP($C$51,$X$26:$AB$33,4,FALSE)</f>
        <v>0</v>
      </c>
      <c r="AQ51" s="322">
        <f>VLOOKUP($C$51,$X$26:$AB$33,5,FALSE)</f>
        <v>0</v>
      </c>
    </row>
    <row r="52" spans="1:43" x14ac:dyDescent="0.2">
      <c r="A52" s="355" t="str">
        <f>IF($O$78="N/A",$N$78,$O$78)</f>
        <v>N/A</v>
      </c>
      <c r="B52" s="336" t="s">
        <v>481</v>
      </c>
      <c r="C52" s="322">
        <f>IF(ISERROR(C_N1_MOD_LEV_CA S_take_off7),0,(C_N1_MOD_LEV_CA S_take_off7))</f>
        <v>0</v>
      </c>
      <c r="E52" s="331">
        <f t="shared" si="7"/>
        <v>0</v>
      </c>
      <c r="F52" s="316">
        <f t="shared" si="8"/>
        <v>0</v>
      </c>
      <c r="G52" s="316">
        <f t="shared" si="9"/>
        <v>0</v>
      </c>
      <c r="H52" s="322">
        <f t="shared" si="10"/>
        <v>0</v>
      </c>
      <c r="J52" s="331">
        <f t="shared" si="0"/>
        <v>0</v>
      </c>
      <c r="K52" s="316">
        <f t="shared" si="1"/>
        <v>0</v>
      </c>
      <c r="L52" s="316">
        <f t="shared" si="2"/>
        <v>0</v>
      </c>
      <c r="M52" s="322">
        <f t="shared" si="3"/>
        <v>0</v>
      </c>
      <c r="O52" s="331">
        <f t="shared" si="4"/>
        <v>0</v>
      </c>
      <c r="P52" s="316">
        <f t="shared" si="11"/>
        <v>0</v>
      </c>
      <c r="Q52" s="316">
        <f t="shared" si="5"/>
        <v>0</v>
      </c>
      <c r="R52" s="322">
        <f t="shared" si="6"/>
        <v>0</v>
      </c>
      <c r="T52" s="331">
        <f>VLOOKUP($C$52,$X$5:$AB$12,2,FALSE)</f>
        <v>0</v>
      </c>
      <c r="U52" s="316">
        <f>VLOOKUP($C$52,$X$5:$AB$12,3,FALSE)</f>
        <v>0</v>
      </c>
      <c r="V52" s="316">
        <f>VLOOKUP($C$52,$X$5:$AB$12,4,FALSE)</f>
        <v>0</v>
      </c>
      <c r="W52" s="322">
        <f>VLOOKUP($C$52,$X$5:$AB$12,5,FALSE)</f>
        <v>0</v>
      </c>
      <c r="Y52" s="331">
        <f>VLOOKUP($C$52,$C$26:$G$33,2,FALSE)</f>
        <v>0</v>
      </c>
      <c r="Z52" s="316">
        <f>VLOOKUP($C$52,$C$26:$G$33,3,FALSE)</f>
        <v>0</v>
      </c>
      <c r="AA52" s="316">
        <f>VLOOKUP($C$52,$C$26:$G$33,4,FALSE)</f>
        <v>0</v>
      </c>
      <c r="AB52" s="322">
        <f>VLOOKUP($C$52,$C$26:$G$33,5,FALSE)</f>
        <v>0</v>
      </c>
      <c r="AD52" s="331">
        <f>VLOOKUP($C$52,$J$26:$N$33,2,FALSE)</f>
        <v>0</v>
      </c>
      <c r="AE52" s="316">
        <f>VLOOKUP($C$52,$J$26:$N$33,3,FALSE)</f>
        <v>0</v>
      </c>
      <c r="AF52" s="316">
        <f>VLOOKUP($C$52,$J$26:$N$33,4,FALSE)</f>
        <v>0</v>
      </c>
      <c r="AG52" s="322">
        <f>VLOOKUP($C$52,$J$26:$N$33,5,FALSE)</f>
        <v>0</v>
      </c>
      <c r="AI52" s="331">
        <f>VLOOKUP($C$52,$Q$26:$U$33,2,FALSE)</f>
        <v>0</v>
      </c>
      <c r="AJ52" s="316">
        <f>VLOOKUP($C$52,$Q$26:$U$33,3,FALSE)</f>
        <v>0</v>
      </c>
      <c r="AK52" s="316">
        <f>VLOOKUP($C$52,$Q$26:$U$33,4,FALSE)</f>
        <v>0</v>
      </c>
      <c r="AL52" s="322">
        <f>VLOOKUP($C$52,$Q$26:$U$33,5,FALSE)</f>
        <v>0</v>
      </c>
      <c r="AN52" s="331">
        <f>VLOOKUP($C$52,$X$26:$AB$33,2,FALSE)</f>
        <v>0</v>
      </c>
      <c r="AO52" s="316">
        <f>VLOOKUP($C$52,$X$26:$AB$33,3,FALSE)</f>
        <v>0</v>
      </c>
      <c r="AP52" s="316">
        <f>VLOOKUP($C$52,$X$26:$AB$33,4,FALSE)</f>
        <v>0</v>
      </c>
      <c r="AQ52" s="322">
        <f>VLOOKUP($C$52,$X$26:$AB$33,5,FALSE)</f>
        <v>0</v>
      </c>
    </row>
    <row r="53" spans="1:43" x14ac:dyDescent="0.2">
      <c r="A53" s="355" t="str">
        <f>IF($O$79="N/A",$N$79,$O$79)</f>
        <v>N/A</v>
      </c>
      <c r="B53" s="336" t="s">
        <v>482</v>
      </c>
      <c r="C53" s="322">
        <f>IF(ISERROR(C_N1_MOD_LEV_CA S_take_off8),0,(C_N1_MOD_LEV_CA S_take_off8))</f>
        <v>0</v>
      </c>
      <c r="E53" s="331">
        <f t="shared" si="7"/>
        <v>0</v>
      </c>
      <c r="F53" s="316">
        <f t="shared" si="8"/>
        <v>0</v>
      </c>
      <c r="G53" s="316">
        <f t="shared" si="9"/>
        <v>0</v>
      </c>
      <c r="H53" s="322">
        <f t="shared" si="10"/>
        <v>0</v>
      </c>
      <c r="J53" s="331">
        <f t="shared" si="0"/>
        <v>0</v>
      </c>
      <c r="K53" s="316">
        <f t="shared" si="1"/>
        <v>0</v>
      </c>
      <c r="L53" s="316">
        <f t="shared" si="2"/>
        <v>0</v>
      </c>
      <c r="M53" s="322">
        <f t="shared" si="3"/>
        <v>0</v>
      </c>
      <c r="O53" s="331">
        <f t="shared" si="4"/>
        <v>0</v>
      </c>
      <c r="P53" s="316">
        <f t="shared" si="11"/>
        <v>0</v>
      </c>
      <c r="Q53" s="316">
        <f t="shared" si="5"/>
        <v>0</v>
      </c>
      <c r="R53" s="322">
        <f t="shared" si="6"/>
        <v>0</v>
      </c>
      <c r="T53" s="331">
        <f>VLOOKUP($C$53,$X$5:$AB$12,2,FALSE)</f>
        <v>0</v>
      </c>
      <c r="U53" s="316">
        <f>VLOOKUP($C$53,$X$5:$AB$12,3,FALSE)</f>
        <v>0</v>
      </c>
      <c r="V53" s="316">
        <f>VLOOKUP($C$53,$X$5:$AB$12,4,FALSE)</f>
        <v>0</v>
      </c>
      <c r="W53" s="322">
        <f>VLOOKUP($C$53,$X$5:$AB$12,5,FALSE)</f>
        <v>0</v>
      </c>
      <c r="Y53" s="331">
        <f>VLOOKUP($C$53,$C$26:$G$33,2,FALSE)</f>
        <v>0</v>
      </c>
      <c r="Z53" s="316">
        <f>VLOOKUP($C$53,$C$26:$G$33,3,FALSE)</f>
        <v>0</v>
      </c>
      <c r="AA53" s="316">
        <f>VLOOKUP($C$53,$C$26:$G$33,4,FALSE)</f>
        <v>0</v>
      </c>
      <c r="AB53" s="322">
        <f>VLOOKUP($C$53,$C$26:$G$33,5,FALSE)</f>
        <v>0</v>
      </c>
      <c r="AD53" s="331">
        <f>VLOOKUP($C$53,$J$26:$N$33,2,FALSE)</f>
        <v>0</v>
      </c>
      <c r="AE53" s="316">
        <f>VLOOKUP($C$53,$J$26:$N$33,3,FALSE)</f>
        <v>0</v>
      </c>
      <c r="AF53" s="316">
        <f>VLOOKUP($C$53,$J$26:$N$33,4,FALSE)</f>
        <v>0</v>
      </c>
      <c r="AG53" s="322">
        <f>VLOOKUP($C$53,$J$26:$N$33,5,FALSE)</f>
        <v>0</v>
      </c>
      <c r="AI53" s="331">
        <f>VLOOKUP($C$53,$Q$26:$U$33,2,FALSE)</f>
        <v>0</v>
      </c>
      <c r="AJ53" s="316">
        <f>VLOOKUP($C$53,$Q$26:$U$33,3,FALSE)</f>
        <v>0</v>
      </c>
      <c r="AK53" s="316">
        <f>VLOOKUP($C$53,$Q$26:$U$33,4,FALSE)</f>
        <v>0</v>
      </c>
      <c r="AL53" s="322">
        <f>VLOOKUP($C$53,$Q$26:$U$33,5,FALSE)</f>
        <v>0</v>
      </c>
      <c r="AN53" s="331">
        <f>VLOOKUP($C$53,$X$26:$AB$33,2,FALSE)</f>
        <v>0</v>
      </c>
      <c r="AO53" s="316">
        <f>VLOOKUP($C$53,$X$26:$AB$33,3,FALSE)</f>
        <v>0</v>
      </c>
      <c r="AP53" s="316">
        <f>VLOOKUP($C$53,$X$26:$AB$33,4,FALSE)</f>
        <v>0</v>
      </c>
      <c r="AQ53" s="322">
        <f>VLOOKUP($C$53,$X$26:$AB$33,5,FALSE)</f>
        <v>0</v>
      </c>
    </row>
    <row r="54" spans="1:43" ht="13.5" thickBot="1" x14ac:dyDescent="0.25">
      <c r="A54" s="356" t="str">
        <f>IF($O$80="N/A",$N$80,$O$80)</f>
        <v>N/A</v>
      </c>
      <c r="B54" s="337" t="s">
        <v>483</v>
      </c>
      <c r="C54" s="324">
        <f>IF(ISERROR(C_N1_MOD_LEV_CA S_take_off9),0,(C_N1_MOD_LEV_CA S_take_off9))</f>
        <v>0</v>
      </c>
      <c r="E54" s="332">
        <f t="shared" si="7"/>
        <v>0</v>
      </c>
      <c r="F54" s="323">
        <f t="shared" si="8"/>
        <v>0</v>
      </c>
      <c r="G54" s="323">
        <f t="shared" si="9"/>
        <v>0</v>
      </c>
      <c r="H54" s="324">
        <f t="shared" si="10"/>
        <v>0</v>
      </c>
      <c r="J54" s="332">
        <f t="shared" si="0"/>
        <v>0</v>
      </c>
      <c r="K54" s="323">
        <f t="shared" si="1"/>
        <v>0</v>
      </c>
      <c r="L54" s="323">
        <f t="shared" si="2"/>
        <v>0</v>
      </c>
      <c r="M54" s="324">
        <f t="shared" si="3"/>
        <v>0</v>
      </c>
      <c r="O54" s="332">
        <f t="shared" si="4"/>
        <v>0</v>
      </c>
      <c r="P54" s="323">
        <f t="shared" si="11"/>
        <v>0</v>
      </c>
      <c r="Q54" s="323">
        <f t="shared" si="5"/>
        <v>0</v>
      </c>
      <c r="R54" s="324">
        <f t="shared" si="6"/>
        <v>0</v>
      </c>
      <c r="T54" s="332">
        <f>VLOOKUP($C$54,$X$5:$AB$12,2,FALSE)</f>
        <v>0</v>
      </c>
      <c r="U54" s="323">
        <f>VLOOKUP($C$54,$X$5:$AB$12,3,FALSE)</f>
        <v>0</v>
      </c>
      <c r="V54" s="323">
        <f>VLOOKUP($C$54,$X$5:$AB$12,4,FALSE)</f>
        <v>0</v>
      </c>
      <c r="W54" s="324">
        <f>VLOOKUP($C$54,$X$5:$AB$12,5,FALSE)</f>
        <v>0</v>
      </c>
      <c r="Y54" s="332">
        <f>VLOOKUP($C$54,$C$26:$G$33,2,FALSE)</f>
        <v>0</v>
      </c>
      <c r="Z54" s="323">
        <f>VLOOKUP($C$54,$C$26:$G$33,3,FALSE)</f>
        <v>0</v>
      </c>
      <c r="AA54" s="323">
        <f>VLOOKUP($C$54,$C$26:$G$33,4,FALSE)</f>
        <v>0</v>
      </c>
      <c r="AB54" s="324">
        <f>VLOOKUP($C$54,$C$26:$G$33,5,FALSE)</f>
        <v>0</v>
      </c>
      <c r="AD54" s="332">
        <f>VLOOKUP($C$54,$J$26:$N$33,2,FALSE)</f>
        <v>0</v>
      </c>
      <c r="AE54" s="323">
        <f>VLOOKUP($C$54,$J$26:$N$33,3,FALSE)</f>
        <v>0</v>
      </c>
      <c r="AF54" s="323">
        <f>VLOOKUP($C$54,$J$26:$N$33,4,FALSE)</f>
        <v>0</v>
      </c>
      <c r="AG54" s="324">
        <f>VLOOKUP($C$54,$J$26:$N$33,5,FALSE)</f>
        <v>0</v>
      </c>
      <c r="AI54" s="332">
        <f>VLOOKUP($C$54,$Q$26:$U$33,2,FALSE)</f>
        <v>0</v>
      </c>
      <c r="AJ54" s="323">
        <f>VLOOKUP($C$54,$Q$26:$U$33,3,FALSE)</f>
        <v>0</v>
      </c>
      <c r="AK54" s="323">
        <f>VLOOKUP($C$54,$Q$26:$U$33,4,FALSE)</f>
        <v>0</v>
      </c>
      <c r="AL54" s="324">
        <f>VLOOKUP($C$54,$Q$26:$U$33,5,FALSE)</f>
        <v>0</v>
      </c>
      <c r="AN54" s="332">
        <f>VLOOKUP($C$54,$X$26:$AB$33,2,FALSE)</f>
        <v>0</v>
      </c>
      <c r="AO54" s="323">
        <f>VLOOKUP($C$54,$X$26:$AB$33,3,FALSE)</f>
        <v>0</v>
      </c>
      <c r="AP54" s="323">
        <f>VLOOKUP($C$54,$X$26:$AB$33,4,FALSE)</f>
        <v>0</v>
      </c>
      <c r="AQ54" s="324">
        <f>VLOOKUP($C$54,$X$26:$AB$33,5,FALSE)</f>
        <v>0</v>
      </c>
    </row>
    <row r="55" spans="1:43" ht="13.5" thickBot="1" x14ac:dyDescent="0.25"/>
    <row r="56" spans="1:43" ht="13.5" thickBot="1" x14ac:dyDescent="0.25">
      <c r="E56" s="608" t="s">
        <v>466</v>
      </c>
      <c r="F56" s="609"/>
      <c r="G56" s="609"/>
      <c r="H56" s="610"/>
      <c r="J56" s="608" t="s">
        <v>466</v>
      </c>
      <c r="K56" s="609"/>
      <c r="L56" s="609"/>
      <c r="M56" s="610"/>
      <c r="O56" s="608" t="s">
        <v>466</v>
      </c>
      <c r="P56" s="609"/>
      <c r="Q56" s="609"/>
      <c r="R56" s="610"/>
      <c r="T56" s="608" t="s">
        <v>466</v>
      </c>
      <c r="U56" s="609"/>
      <c r="V56" s="609"/>
      <c r="W56" s="610"/>
      <c r="Y56" s="608" t="s">
        <v>466</v>
      </c>
      <c r="Z56" s="609"/>
      <c r="AA56" s="609"/>
      <c r="AB56" s="610"/>
      <c r="AD56" s="608" t="s">
        <v>466</v>
      </c>
      <c r="AE56" s="609"/>
      <c r="AF56" s="609"/>
      <c r="AG56" s="610"/>
      <c r="AI56" s="608" t="s">
        <v>466</v>
      </c>
      <c r="AJ56" s="609"/>
      <c r="AK56" s="609"/>
      <c r="AL56" s="610"/>
      <c r="AN56" s="608" t="s">
        <v>466</v>
      </c>
      <c r="AO56" s="609"/>
      <c r="AP56" s="609"/>
      <c r="AQ56" s="610"/>
    </row>
    <row r="57" spans="1:43" ht="13.5" thickBot="1" x14ac:dyDescent="0.25">
      <c r="E57" s="611" t="s">
        <v>548</v>
      </c>
      <c r="F57" s="612"/>
      <c r="G57" s="612"/>
      <c r="H57" s="613"/>
      <c r="J57" s="611" t="s">
        <v>549</v>
      </c>
      <c r="K57" s="612"/>
      <c r="L57" s="612"/>
      <c r="M57" s="613"/>
      <c r="O57" s="611" t="s">
        <v>550</v>
      </c>
      <c r="P57" s="612"/>
      <c r="Q57" s="612"/>
      <c r="R57" s="613"/>
      <c r="T57" s="611" t="s">
        <v>551</v>
      </c>
      <c r="U57" s="612"/>
      <c r="V57" s="612"/>
      <c r="W57" s="613"/>
      <c r="Y57" s="611" t="s">
        <v>552</v>
      </c>
      <c r="Z57" s="612"/>
      <c r="AA57" s="612"/>
      <c r="AB57" s="613"/>
      <c r="AD57" s="611" t="s">
        <v>553</v>
      </c>
      <c r="AE57" s="612"/>
      <c r="AF57" s="612"/>
      <c r="AG57" s="613"/>
      <c r="AI57" s="611" t="s">
        <v>554</v>
      </c>
      <c r="AJ57" s="612"/>
      <c r="AK57" s="612"/>
      <c r="AL57" s="613"/>
      <c r="AN57" s="611" t="s">
        <v>555</v>
      </c>
      <c r="AO57" s="612"/>
      <c r="AP57" s="612"/>
      <c r="AQ57" s="613"/>
    </row>
    <row r="58" spans="1:43" ht="13.5" thickBot="1" x14ac:dyDescent="0.25">
      <c r="E58" s="317" t="s">
        <v>461</v>
      </c>
      <c r="F58" s="318" t="s">
        <v>462</v>
      </c>
      <c r="G58" s="318" t="s">
        <v>463</v>
      </c>
      <c r="H58" s="319" t="s">
        <v>464</v>
      </c>
      <c r="J58" s="317" t="s">
        <v>461</v>
      </c>
      <c r="K58" s="318" t="s">
        <v>462</v>
      </c>
      <c r="L58" s="318" t="s">
        <v>463</v>
      </c>
      <c r="M58" s="319" t="s">
        <v>464</v>
      </c>
      <c r="O58" s="317" t="s">
        <v>461</v>
      </c>
      <c r="P58" s="318" t="s">
        <v>462</v>
      </c>
      <c r="Q58" s="318" t="s">
        <v>463</v>
      </c>
      <c r="R58" s="319" t="s">
        <v>464</v>
      </c>
      <c r="T58" s="317" t="s">
        <v>461</v>
      </c>
      <c r="U58" s="318" t="s">
        <v>462</v>
      </c>
      <c r="V58" s="318" t="s">
        <v>463</v>
      </c>
      <c r="W58" s="319" t="s">
        <v>464</v>
      </c>
      <c r="Y58" s="317" t="s">
        <v>461</v>
      </c>
      <c r="Z58" s="318" t="s">
        <v>462</v>
      </c>
      <c r="AA58" s="318" t="s">
        <v>463</v>
      </c>
      <c r="AB58" s="319" t="s">
        <v>464</v>
      </c>
      <c r="AD58" s="317" t="s">
        <v>461</v>
      </c>
      <c r="AE58" s="318" t="s">
        <v>462</v>
      </c>
      <c r="AF58" s="318" t="s">
        <v>463</v>
      </c>
      <c r="AG58" s="319" t="s">
        <v>464</v>
      </c>
      <c r="AI58" s="317" t="s">
        <v>461</v>
      </c>
      <c r="AJ58" s="318" t="s">
        <v>462</v>
      </c>
      <c r="AK58" s="318" t="s">
        <v>463</v>
      </c>
      <c r="AL58" s="319" t="s">
        <v>464</v>
      </c>
      <c r="AN58" s="317" t="s">
        <v>461</v>
      </c>
      <c r="AO58" s="318" t="s">
        <v>462</v>
      </c>
      <c r="AP58" s="318" t="s">
        <v>463</v>
      </c>
      <c r="AQ58" s="319" t="s">
        <v>464</v>
      </c>
    </row>
    <row r="59" spans="1:43" x14ac:dyDescent="0.2">
      <c r="E59" s="330">
        <f>VLOOKUP(C46,$C$13:$G$20,2,FALSE)</f>
        <v>0</v>
      </c>
      <c r="F59" s="320">
        <f>VLOOKUP(C46,$C$13:$G$20,3,FALSE)</f>
        <v>0</v>
      </c>
      <c r="G59" s="320">
        <f>VLOOKUP(C46,$C$13:$G$20,4,FALSE)</f>
        <v>0</v>
      </c>
      <c r="H59" s="321">
        <f>VLOOKUP(C46,$C$13:$G$20,5,FALSE)</f>
        <v>0</v>
      </c>
      <c r="J59" s="330">
        <f>VLOOKUP(C46,$J$13:$N$20,2,FALSE)</f>
        <v>0</v>
      </c>
      <c r="K59" s="320">
        <f>VLOOKUP(C46,$J$13:$N$20,3,FALSE)</f>
        <v>0</v>
      </c>
      <c r="L59" s="320">
        <f>VLOOKUP(C46,$J$13:$N$20,4,FALSE)</f>
        <v>0</v>
      </c>
      <c r="M59" s="321">
        <f>VLOOKUP(C46,$J$13:$N$20,5,FALSE)</f>
        <v>0</v>
      </c>
      <c r="O59" s="330">
        <f>VLOOKUP(C46,$Q$13:$U$20,2,FALSE)</f>
        <v>0</v>
      </c>
      <c r="P59" s="320">
        <f t="shared" ref="P59:P67" si="12">VLOOKUP(C46,$Q$13:$U$20,3,FALSE)</f>
        <v>0</v>
      </c>
      <c r="Q59" s="320">
        <f t="shared" ref="Q59:Q67" si="13">VLOOKUP(C46,$Q$13:$U$20,4,FALSE)</f>
        <v>0</v>
      </c>
      <c r="R59" s="321">
        <f t="shared" ref="R59:R67" si="14">VLOOKUP(C46,$Q$13:$U$20,5,FALSE)</f>
        <v>0</v>
      </c>
      <c r="T59" s="330">
        <f>VLOOKUP($C$46,$X$13:$AB$20,2,FALSE)</f>
        <v>0</v>
      </c>
      <c r="U59" s="320">
        <f>VLOOKUP($C$46,$X$13:$AB$20,3,FALSE)</f>
        <v>0</v>
      </c>
      <c r="V59" s="320">
        <f>VLOOKUP($C$46,$X$13:$AB$20,4,FALSE)</f>
        <v>0</v>
      </c>
      <c r="W59" s="321">
        <f>VLOOKUP($C$46,$X$13:$AB$20,5,FALSE)</f>
        <v>0</v>
      </c>
      <c r="Y59" s="330">
        <f>VLOOKUP($C$46,$C$34:$G$41,2,FALSE)</f>
        <v>0</v>
      </c>
      <c r="Z59" s="320">
        <f>VLOOKUP($C$46,$C$34:$G$41,3,FALSE)</f>
        <v>0</v>
      </c>
      <c r="AA59" s="320">
        <f>VLOOKUP($C$46,$C$34:$G$41,4,FALSE)</f>
        <v>0</v>
      </c>
      <c r="AB59" s="321">
        <f>VLOOKUP($C$46,$C$34:$G$41,5,FALSE)</f>
        <v>0</v>
      </c>
      <c r="AD59" s="330">
        <f>VLOOKUP($C$46,$J$34:$N$41,2,FALSE)</f>
        <v>0</v>
      </c>
      <c r="AE59" s="320">
        <f>VLOOKUP($C$46,$J$34:$N$41,3,FALSE)</f>
        <v>0</v>
      </c>
      <c r="AF59" s="320">
        <f>VLOOKUP($C$46,$J$34:$N$41,4,FALSE)</f>
        <v>0</v>
      </c>
      <c r="AG59" s="321">
        <f>VLOOKUP($C$46,$J$34:$N$41,5,FALSE)</f>
        <v>0</v>
      </c>
      <c r="AI59" s="330">
        <f>VLOOKUP($C$46,$Q$34:$U$41,2,FALSE)</f>
        <v>0</v>
      </c>
      <c r="AJ59" s="320">
        <f>VLOOKUP($C$46,$Q$34:$U$41,3,FALSE)</f>
        <v>0</v>
      </c>
      <c r="AK59" s="320">
        <f>VLOOKUP($C$46,$Q$34:$U$41,4,FALSE)</f>
        <v>0</v>
      </c>
      <c r="AL59" s="321">
        <f>VLOOKUP($C$46,$Q$34:$U$41,5,FALSE)</f>
        <v>0</v>
      </c>
      <c r="AN59" s="330">
        <f>VLOOKUP($C$46,$X$34:$AB$41,2,FALSE)</f>
        <v>0</v>
      </c>
      <c r="AO59" s="320">
        <f>VLOOKUP($C$46,$X$34:$AB$41,3,FALSE)</f>
        <v>0</v>
      </c>
      <c r="AP59" s="320">
        <f>VLOOKUP($C$46,$X$34:$AB$41,4,FALSE)</f>
        <v>0</v>
      </c>
      <c r="AQ59" s="321">
        <f>VLOOKUP($C$46,$X$34:$AB$41,5,FALSE)</f>
        <v>0</v>
      </c>
    </row>
    <row r="60" spans="1:43" x14ac:dyDescent="0.2">
      <c r="E60" s="331">
        <f t="shared" ref="E60:E67" si="15">VLOOKUP(C47,$C$13:$G$20,2,FALSE)</f>
        <v>0</v>
      </c>
      <c r="F60" s="316">
        <f t="shared" ref="F60:F67" si="16">VLOOKUP(C47,$C$13:$G$20,3,FALSE)</f>
        <v>0</v>
      </c>
      <c r="G60" s="316">
        <f t="shared" ref="G60:G67" si="17">VLOOKUP(C47,$C$13:$G$20,4,FALSE)</f>
        <v>0</v>
      </c>
      <c r="H60" s="322">
        <f t="shared" ref="H60:H67" si="18">VLOOKUP(C47,$C$13:$G$20,5,FALSE)</f>
        <v>0</v>
      </c>
      <c r="J60" s="331">
        <f t="shared" ref="J60:J67" si="19">VLOOKUP(C47,$J$13:$N$20,2,FALSE)</f>
        <v>0</v>
      </c>
      <c r="K60" s="316">
        <f t="shared" ref="K60:K67" si="20">VLOOKUP(C47,$J$13:$N$20,3,FALSE)</f>
        <v>0</v>
      </c>
      <c r="L60" s="316">
        <f t="shared" ref="L60:L67" si="21">VLOOKUP(C47,$J$13:$N$20,4,FALSE)</f>
        <v>0</v>
      </c>
      <c r="M60" s="322">
        <f t="shared" ref="M60:M67" si="22">VLOOKUP(C47,$J$13:$N$20,5,FALSE)</f>
        <v>0</v>
      </c>
      <c r="O60" s="331">
        <f t="shared" ref="O60:O67" si="23">VLOOKUP(C47,$Q$13:$U$20,2,FALSE)</f>
        <v>0</v>
      </c>
      <c r="P60" s="316">
        <f t="shared" si="12"/>
        <v>0</v>
      </c>
      <c r="Q60" s="316">
        <f t="shared" si="13"/>
        <v>0</v>
      </c>
      <c r="R60" s="322">
        <f t="shared" si="14"/>
        <v>0</v>
      </c>
      <c r="T60" s="331">
        <f>VLOOKUP($C$47,$X$13:$AB$20,2,FALSE)</f>
        <v>0</v>
      </c>
      <c r="U60" s="316">
        <f>VLOOKUP($C$47,$X$13:$AB$20,3,FALSE)</f>
        <v>0</v>
      </c>
      <c r="V60" s="316">
        <f>VLOOKUP($C$47,$X$13:$AB$20,4,FALSE)</f>
        <v>0</v>
      </c>
      <c r="W60" s="322">
        <f>VLOOKUP($C$47,$X$13:$AB$20,5,FALSE)</f>
        <v>0</v>
      </c>
      <c r="Y60" s="331">
        <f>VLOOKUP($C$47,$C$34:$G$41,2,FALSE)</f>
        <v>0</v>
      </c>
      <c r="Z60" s="316">
        <f>VLOOKUP($C$47,$C$34:$G$41,3,FALSE)</f>
        <v>0</v>
      </c>
      <c r="AA60" s="316">
        <f>VLOOKUP($C$47,$C$34:$G$41,4,FALSE)</f>
        <v>0</v>
      </c>
      <c r="AB60" s="322">
        <f>VLOOKUP($C$47,$C$34:$G$41,5,FALSE)</f>
        <v>0</v>
      </c>
      <c r="AD60" s="331">
        <f>VLOOKUP($C$47,$J$34:$N$41,2,FALSE)</f>
        <v>0</v>
      </c>
      <c r="AE60" s="316">
        <f>VLOOKUP($C$47,$J$34:$N$41,3,FALSE)</f>
        <v>0</v>
      </c>
      <c r="AF60" s="316">
        <f>VLOOKUP($C$47,$J$34:$N$41,4,FALSE)</f>
        <v>0</v>
      </c>
      <c r="AG60" s="322">
        <f>VLOOKUP($C$47,$J$34:$N$41,5,FALSE)</f>
        <v>0</v>
      </c>
      <c r="AI60" s="331">
        <f>VLOOKUP($C$47,$Q$34:$U$41,2,FALSE)</f>
        <v>0</v>
      </c>
      <c r="AJ60" s="316">
        <f>VLOOKUP($C$47,$Q$34:$U$41,3,FALSE)</f>
        <v>0</v>
      </c>
      <c r="AK60" s="316">
        <f>VLOOKUP($C$47,$Q$34:$U$41,4,FALSE)</f>
        <v>0</v>
      </c>
      <c r="AL60" s="322">
        <f>VLOOKUP($C$47,$Q$34:$U$41,5,FALSE)</f>
        <v>0</v>
      </c>
      <c r="AN60" s="331">
        <f>VLOOKUP($C$47,$X$34:$AB$41,2,FALSE)</f>
        <v>0</v>
      </c>
      <c r="AO60" s="316">
        <f>VLOOKUP($C$47,$X$34:$AB$41,3,FALSE)</f>
        <v>0</v>
      </c>
      <c r="AP60" s="316">
        <f>VLOOKUP($C$47,$X$34:$AB$41,4,FALSE)</f>
        <v>0</v>
      </c>
      <c r="AQ60" s="322">
        <f>VLOOKUP($C$47,$X$34:$AB$41,5,FALSE)</f>
        <v>0</v>
      </c>
    </row>
    <row r="61" spans="1:43" x14ac:dyDescent="0.2">
      <c r="E61" s="331">
        <f t="shared" si="15"/>
        <v>0</v>
      </c>
      <c r="F61" s="316">
        <f t="shared" si="16"/>
        <v>0</v>
      </c>
      <c r="G61" s="316">
        <f t="shared" si="17"/>
        <v>0</v>
      </c>
      <c r="H61" s="322">
        <f t="shared" si="18"/>
        <v>0</v>
      </c>
      <c r="J61" s="331">
        <f t="shared" si="19"/>
        <v>0</v>
      </c>
      <c r="K61" s="316">
        <f t="shared" si="20"/>
        <v>0</v>
      </c>
      <c r="L61" s="316">
        <f t="shared" si="21"/>
        <v>0</v>
      </c>
      <c r="M61" s="322">
        <f t="shared" si="22"/>
        <v>0</v>
      </c>
      <c r="O61" s="331">
        <f t="shared" si="23"/>
        <v>0</v>
      </c>
      <c r="P61" s="316">
        <f t="shared" si="12"/>
        <v>0</v>
      </c>
      <c r="Q61" s="316">
        <f t="shared" si="13"/>
        <v>0</v>
      </c>
      <c r="R61" s="322">
        <f t="shared" si="14"/>
        <v>0</v>
      </c>
      <c r="T61" s="331">
        <f>VLOOKUP($C$48,$X$13:$AB$20,2,FALSE)</f>
        <v>0</v>
      </c>
      <c r="U61" s="316">
        <f>VLOOKUP($C$48,$X$13:$AB$20,3,FALSE)</f>
        <v>0</v>
      </c>
      <c r="V61" s="316">
        <f>VLOOKUP($C$48,$X$13:$AB$20,4,FALSE)</f>
        <v>0</v>
      </c>
      <c r="W61" s="322">
        <f>VLOOKUP($C$48,$X$13:$AB$20,5,FALSE)</f>
        <v>0</v>
      </c>
      <c r="Y61" s="331">
        <f>VLOOKUP($C$48,$C$34:$G$41,2,FALSE)</f>
        <v>0</v>
      </c>
      <c r="Z61" s="316">
        <f>VLOOKUP($C$48,$C$34:$G$41,3,FALSE)</f>
        <v>0</v>
      </c>
      <c r="AA61" s="316">
        <f>VLOOKUP($C$48,$C$34:$G$41,4,FALSE)</f>
        <v>0</v>
      </c>
      <c r="AB61" s="322">
        <f>VLOOKUP($C$48,$C$34:$G$41,5,FALSE)</f>
        <v>0</v>
      </c>
      <c r="AD61" s="331">
        <f>VLOOKUP($C$48,$J$34:$N$41,2,FALSE)</f>
        <v>0</v>
      </c>
      <c r="AE61" s="316">
        <f>VLOOKUP($C$48,$J$34:$N$41,3,FALSE)</f>
        <v>0</v>
      </c>
      <c r="AF61" s="316">
        <f>VLOOKUP($C$48,$J$34:$N$41,4,FALSE)</f>
        <v>0</v>
      </c>
      <c r="AG61" s="322">
        <f>VLOOKUP($C$48,$J$34:$N$41,5,FALSE)</f>
        <v>0</v>
      </c>
      <c r="AI61" s="331">
        <f>VLOOKUP($C$48,$Q$34:$U$41,2,FALSE)</f>
        <v>0</v>
      </c>
      <c r="AJ61" s="316">
        <f>VLOOKUP($C$48,$Q$34:$U$41,3,FALSE)</f>
        <v>0</v>
      </c>
      <c r="AK61" s="316">
        <f>VLOOKUP($C$48,$Q$34:$U$41,4,FALSE)</f>
        <v>0</v>
      </c>
      <c r="AL61" s="322">
        <f>VLOOKUP($C$48,$Q$34:$U$41,5,FALSE)</f>
        <v>0</v>
      </c>
      <c r="AN61" s="331">
        <f>VLOOKUP($C$48,$X$34:$AB$41,2,FALSE)</f>
        <v>0</v>
      </c>
      <c r="AO61" s="316">
        <f>VLOOKUP($C$48,$X$34:$AB$41,3,FALSE)</f>
        <v>0</v>
      </c>
      <c r="AP61" s="316">
        <f>VLOOKUP($C$48,$X$34:$AB$41,4,FALSE)</f>
        <v>0</v>
      </c>
      <c r="AQ61" s="322">
        <f>VLOOKUP($C$48,$X$34:$AB$41,5,FALSE)</f>
        <v>0</v>
      </c>
    </row>
    <row r="62" spans="1:43" x14ac:dyDescent="0.2">
      <c r="E62" s="331">
        <f t="shared" si="15"/>
        <v>0</v>
      </c>
      <c r="F62" s="316">
        <f t="shared" si="16"/>
        <v>0</v>
      </c>
      <c r="G62" s="316">
        <f t="shared" si="17"/>
        <v>0</v>
      </c>
      <c r="H62" s="322">
        <f t="shared" si="18"/>
        <v>0</v>
      </c>
      <c r="J62" s="331">
        <f t="shared" si="19"/>
        <v>0</v>
      </c>
      <c r="K62" s="316">
        <f t="shared" si="20"/>
        <v>0</v>
      </c>
      <c r="L62" s="316">
        <f t="shared" si="21"/>
        <v>0</v>
      </c>
      <c r="M62" s="322">
        <f t="shared" si="22"/>
        <v>0</v>
      </c>
      <c r="O62" s="331">
        <f t="shared" si="23"/>
        <v>0</v>
      </c>
      <c r="P62" s="316">
        <f t="shared" si="12"/>
        <v>0</v>
      </c>
      <c r="Q62" s="316">
        <f t="shared" si="13"/>
        <v>0</v>
      </c>
      <c r="R62" s="322">
        <f t="shared" si="14"/>
        <v>0</v>
      </c>
      <c r="T62" s="331">
        <f>VLOOKUP($C$49,$X$13:$AB$20,2,FALSE)</f>
        <v>0</v>
      </c>
      <c r="U62" s="316">
        <f>VLOOKUP($C$49,$X$13:$AB$20,3,FALSE)</f>
        <v>0</v>
      </c>
      <c r="V62" s="316">
        <f>VLOOKUP($C$49,$X$13:$AB$20,4,FALSE)</f>
        <v>0</v>
      </c>
      <c r="W62" s="322">
        <f>VLOOKUP($C$49,$X$13:$AB$20,5,FALSE)</f>
        <v>0</v>
      </c>
      <c r="Y62" s="331">
        <f>VLOOKUP($C$49,$C$34:$G$41,2,FALSE)</f>
        <v>0</v>
      </c>
      <c r="Z62" s="316">
        <f>VLOOKUP($C$49,$C$34:$G$41,3,FALSE)</f>
        <v>0</v>
      </c>
      <c r="AA62" s="316">
        <f>VLOOKUP($C$49,$C$34:$G$41,4,FALSE)</f>
        <v>0</v>
      </c>
      <c r="AB62" s="322">
        <f>VLOOKUP($C$49,$C$34:$G$41,5,FALSE)</f>
        <v>0</v>
      </c>
      <c r="AD62" s="331">
        <f>VLOOKUP($C$49,$J$34:$N$41,2,FALSE)</f>
        <v>0</v>
      </c>
      <c r="AE62" s="316">
        <f>VLOOKUP($C$49,$J$34:$N$41,3,FALSE)</f>
        <v>0</v>
      </c>
      <c r="AF62" s="316">
        <f>VLOOKUP($C$49,$J$34:$N$41,4,FALSE)</f>
        <v>0</v>
      </c>
      <c r="AG62" s="322">
        <f>VLOOKUP($C$49,$J$34:$N$41,5,FALSE)</f>
        <v>0</v>
      </c>
      <c r="AI62" s="331">
        <f>VLOOKUP($C$49,$Q$34:$U$41,2,FALSE)</f>
        <v>0</v>
      </c>
      <c r="AJ62" s="316">
        <f>VLOOKUP($C$49,$Q$34:$U$41,3,FALSE)</f>
        <v>0</v>
      </c>
      <c r="AK62" s="316">
        <f>VLOOKUP($C$49,$Q$34:$U$41,4,FALSE)</f>
        <v>0</v>
      </c>
      <c r="AL62" s="322">
        <f>VLOOKUP($C$49,$Q$34:$U$41,5,FALSE)</f>
        <v>0</v>
      </c>
      <c r="AN62" s="331">
        <f>VLOOKUP($C$49,$X$34:$AB$41,2,FALSE)</f>
        <v>0</v>
      </c>
      <c r="AO62" s="316">
        <f>VLOOKUP($C$49,$X$34:$AB$41,3,FALSE)</f>
        <v>0</v>
      </c>
      <c r="AP62" s="316">
        <f>VLOOKUP($C$49,$X$34:$AB$41,4,FALSE)</f>
        <v>0</v>
      </c>
      <c r="AQ62" s="322">
        <f>VLOOKUP($C$49,$X$34:$AB$41,5,FALSE)</f>
        <v>0</v>
      </c>
    </row>
    <row r="63" spans="1:43" x14ac:dyDescent="0.2">
      <c r="E63" s="331">
        <f t="shared" si="15"/>
        <v>0</v>
      </c>
      <c r="F63" s="316">
        <f t="shared" si="16"/>
        <v>0</v>
      </c>
      <c r="G63" s="316">
        <f t="shared" si="17"/>
        <v>0</v>
      </c>
      <c r="H63" s="322">
        <f t="shared" si="18"/>
        <v>0</v>
      </c>
      <c r="J63" s="331">
        <f t="shared" si="19"/>
        <v>0</v>
      </c>
      <c r="K63" s="316">
        <f t="shared" si="20"/>
        <v>0</v>
      </c>
      <c r="L63" s="316">
        <f t="shared" si="21"/>
        <v>0</v>
      </c>
      <c r="M63" s="322">
        <f t="shared" si="22"/>
        <v>0</v>
      </c>
      <c r="O63" s="331">
        <f t="shared" si="23"/>
        <v>0</v>
      </c>
      <c r="P63" s="316">
        <f t="shared" si="12"/>
        <v>0</v>
      </c>
      <c r="Q63" s="316">
        <f t="shared" si="13"/>
        <v>0</v>
      </c>
      <c r="R63" s="322">
        <f t="shared" si="14"/>
        <v>0</v>
      </c>
      <c r="T63" s="331">
        <f>VLOOKUP($C$50,$X$13:$AB$20,2,FALSE)</f>
        <v>0</v>
      </c>
      <c r="U63" s="316">
        <f>VLOOKUP($C$50,$X$13:$AB$20,3,FALSE)</f>
        <v>0</v>
      </c>
      <c r="V63" s="316">
        <f>VLOOKUP($C$50,$X$13:$AB$20,4,FALSE)</f>
        <v>0</v>
      </c>
      <c r="W63" s="322">
        <f>VLOOKUP($C$50,$X$13:$AB$20,5,FALSE)</f>
        <v>0</v>
      </c>
      <c r="Y63" s="331">
        <f>VLOOKUP($C$50,$C$34:$G$41,2,FALSE)</f>
        <v>0</v>
      </c>
      <c r="Z63" s="316">
        <f>VLOOKUP($C$50,$C$34:$G$41,3,FALSE)</f>
        <v>0</v>
      </c>
      <c r="AA63" s="316">
        <f>VLOOKUP($C$50,$C$34:$G$41,4,FALSE)</f>
        <v>0</v>
      </c>
      <c r="AB63" s="322">
        <f>VLOOKUP($C$50,$C$34:$G$41,5,FALSE)</f>
        <v>0</v>
      </c>
      <c r="AD63" s="331">
        <f>VLOOKUP($C$50,$J$34:$N$41,2,FALSE)</f>
        <v>0</v>
      </c>
      <c r="AE63" s="316">
        <f>VLOOKUP($C$50,$J$34:$N$41,3,FALSE)</f>
        <v>0</v>
      </c>
      <c r="AF63" s="316">
        <f>VLOOKUP($C$50,$J$34:$N$41,4,FALSE)</f>
        <v>0</v>
      </c>
      <c r="AG63" s="322">
        <f>VLOOKUP($C$50,$J$34:$N$41,5,FALSE)</f>
        <v>0</v>
      </c>
      <c r="AI63" s="331">
        <f>VLOOKUP($C$50,$Q$34:$U$41,2,FALSE)</f>
        <v>0</v>
      </c>
      <c r="AJ63" s="316">
        <f>VLOOKUP($C$50,$Q$34:$U$41,3,FALSE)</f>
        <v>0</v>
      </c>
      <c r="AK63" s="316">
        <f>VLOOKUP($C$50,$Q$34:$U$41,4,FALSE)</f>
        <v>0</v>
      </c>
      <c r="AL63" s="322">
        <f>VLOOKUP($C$50,$Q$34:$U$41,5,FALSE)</f>
        <v>0</v>
      </c>
      <c r="AN63" s="331">
        <f>VLOOKUP($C$50,$X$34:$AB$41,2,FALSE)</f>
        <v>0</v>
      </c>
      <c r="AO63" s="316">
        <f>VLOOKUP($C$50,$X$34:$AB$41,3,FALSE)</f>
        <v>0</v>
      </c>
      <c r="AP63" s="316">
        <f>VLOOKUP($C$50,$X$34:$AB$41,4,FALSE)</f>
        <v>0</v>
      </c>
      <c r="AQ63" s="322">
        <f>VLOOKUP($C$50,$X$34:$AB$41,5,FALSE)</f>
        <v>0</v>
      </c>
    </row>
    <row r="64" spans="1:43" x14ac:dyDescent="0.2">
      <c r="E64" s="331">
        <f t="shared" si="15"/>
        <v>0</v>
      </c>
      <c r="F64" s="316">
        <f t="shared" si="16"/>
        <v>0</v>
      </c>
      <c r="G64" s="316">
        <f t="shared" si="17"/>
        <v>0</v>
      </c>
      <c r="H64" s="322">
        <f t="shared" si="18"/>
        <v>0</v>
      </c>
      <c r="J64" s="331">
        <f t="shared" si="19"/>
        <v>0</v>
      </c>
      <c r="K64" s="316">
        <f t="shared" si="20"/>
        <v>0</v>
      </c>
      <c r="L64" s="316">
        <f t="shared" si="21"/>
        <v>0</v>
      </c>
      <c r="M64" s="322">
        <f t="shared" si="22"/>
        <v>0</v>
      </c>
      <c r="O64" s="331">
        <f t="shared" si="23"/>
        <v>0</v>
      </c>
      <c r="P64" s="316">
        <f t="shared" si="12"/>
        <v>0</v>
      </c>
      <c r="Q64" s="316">
        <f t="shared" si="13"/>
        <v>0</v>
      </c>
      <c r="R64" s="322">
        <f t="shared" si="14"/>
        <v>0</v>
      </c>
      <c r="T64" s="331">
        <f>VLOOKUP($C$51,$X$13:$AB$20,2,FALSE)</f>
        <v>0</v>
      </c>
      <c r="U64" s="316">
        <f>VLOOKUP($C$51,$X$13:$AB$20,3,FALSE)</f>
        <v>0</v>
      </c>
      <c r="V64" s="316">
        <f>VLOOKUP($C$51,$X$13:$AB$20,4,FALSE)</f>
        <v>0</v>
      </c>
      <c r="W64" s="322">
        <f>VLOOKUP($C$51,$X$13:$AB$20,5,FALSE)</f>
        <v>0</v>
      </c>
      <c r="Y64" s="331">
        <f>VLOOKUP($C$51,$C$34:$G$41,2,FALSE)</f>
        <v>0</v>
      </c>
      <c r="Z64" s="316">
        <f>VLOOKUP($C$51,$C$34:$G$41,3,FALSE)</f>
        <v>0</v>
      </c>
      <c r="AA64" s="316">
        <f>VLOOKUP($C$51,$C$34:$G$41,4,FALSE)</f>
        <v>0</v>
      </c>
      <c r="AB64" s="322">
        <f>VLOOKUP($C$51,$C$34:$G$41,5,FALSE)</f>
        <v>0</v>
      </c>
      <c r="AD64" s="331">
        <f>VLOOKUP($C$51,$J$34:$N$41,2,FALSE)</f>
        <v>0</v>
      </c>
      <c r="AE64" s="316">
        <f>VLOOKUP($C$51,$J$34:$N$41,3,FALSE)</f>
        <v>0</v>
      </c>
      <c r="AF64" s="316">
        <f>VLOOKUP($C$51,$J$34:$N$41,4,FALSE)</f>
        <v>0</v>
      </c>
      <c r="AG64" s="322">
        <f>VLOOKUP($C$51,$J$34:$N$41,5,FALSE)</f>
        <v>0</v>
      </c>
      <c r="AI64" s="331">
        <f>VLOOKUP($C$51,$Q$34:$U$41,2,FALSE)</f>
        <v>0</v>
      </c>
      <c r="AJ64" s="316">
        <f>VLOOKUP($C$51,$Q$34:$U$41,3,FALSE)</f>
        <v>0</v>
      </c>
      <c r="AK64" s="316">
        <f>VLOOKUP($C$51,$Q$34:$U$41,4,FALSE)</f>
        <v>0</v>
      </c>
      <c r="AL64" s="322">
        <f>VLOOKUP($C$51,$Q$34:$U$41,5,FALSE)</f>
        <v>0</v>
      </c>
      <c r="AN64" s="331">
        <f>VLOOKUP($C$51,$X$34:$AB$41,2,FALSE)</f>
        <v>0</v>
      </c>
      <c r="AO64" s="316">
        <f>VLOOKUP($C$51,$X$34:$AB$41,3,FALSE)</f>
        <v>0</v>
      </c>
      <c r="AP64" s="316">
        <f>VLOOKUP($C$51,$X$34:$AB$41,4,FALSE)</f>
        <v>0</v>
      </c>
      <c r="AQ64" s="322">
        <f>VLOOKUP($C$51,$X$34:$AB$41,5,FALSE)</f>
        <v>0</v>
      </c>
    </row>
    <row r="65" spans="2:43" x14ac:dyDescent="0.2">
      <c r="E65" s="331">
        <f t="shared" si="15"/>
        <v>0</v>
      </c>
      <c r="F65" s="316">
        <f t="shared" si="16"/>
        <v>0</v>
      </c>
      <c r="G65" s="316">
        <f t="shared" si="17"/>
        <v>0</v>
      </c>
      <c r="H65" s="322">
        <f t="shared" si="18"/>
        <v>0</v>
      </c>
      <c r="J65" s="331">
        <f t="shared" si="19"/>
        <v>0</v>
      </c>
      <c r="K65" s="316">
        <f t="shared" si="20"/>
        <v>0</v>
      </c>
      <c r="L65" s="316">
        <f t="shared" si="21"/>
        <v>0</v>
      </c>
      <c r="M65" s="322">
        <f t="shared" si="22"/>
        <v>0</v>
      </c>
      <c r="O65" s="331">
        <f t="shared" si="23"/>
        <v>0</v>
      </c>
      <c r="P65" s="316">
        <f t="shared" si="12"/>
        <v>0</v>
      </c>
      <c r="Q65" s="316">
        <f t="shared" si="13"/>
        <v>0</v>
      </c>
      <c r="R65" s="322">
        <f t="shared" si="14"/>
        <v>0</v>
      </c>
      <c r="T65" s="331">
        <f>VLOOKUP($C$52,$X$13:$AB$20,2,FALSE)</f>
        <v>0</v>
      </c>
      <c r="U65" s="316">
        <f>VLOOKUP($C$52,$X$13:$AB$20,3,FALSE)</f>
        <v>0</v>
      </c>
      <c r="V65" s="316">
        <f>VLOOKUP($C$52,$X$13:$AB$20,4,FALSE)</f>
        <v>0</v>
      </c>
      <c r="W65" s="322">
        <f>VLOOKUP($C$52,$X$13:$AB$20,5,FALSE)</f>
        <v>0</v>
      </c>
      <c r="Y65" s="331">
        <f>VLOOKUP($C$52,$C$34:$G$41,2,FALSE)</f>
        <v>0</v>
      </c>
      <c r="Z65" s="316">
        <f>VLOOKUP($C$52,$C$34:$G$41,3,FALSE)</f>
        <v>0</v>
      </c>
      <c r="AA65" s="316">
        <f>VLOOKUP($C$52,$C$34:$G$41,4,FALSE)</f>
        <v>0</v>
      </c>
      <c r="AB65" s="322">
        <f>VLOOKUP($C$52,$C$34:$G$41,5,FALSE)</f>
        <v>0</v>
      </c>
      <c r="AD65" s="331">
        <f>VLOOKUP($C$52,$J$34:$N$41,2,FALSE)</f>
        <v>0</v>
      </c>
      <c r="AE65" s="316">
        <f>VLOOKUP($C$52,$J$34:$N$41,3,FALSE)</f>
        <v>0</v>
      </c>
      <c r="AF65" s="316">
        <f>VLOOKUP($C$52,$J$34:$N$41,4,FALSE)</f>
        <v>0</v>
      </c>
      <c r="AG65" s="322">
        <f>VLOOKUP($C$52,$J$34:$N$41,5,FALSE)</f>
        <v>0</v>
      </c>
      <c r="AI65" s="331">
        <f>VLOOKUP($C$52,$Q$34:$U$41,2,FALSE)</f>
        <v>0</v>
      </c>
      <c r="AJ65" s="316">
        <f>VLOOKUP($C$52,$Q$34:$U$41,3,FALSE)</f>
        <v>0</v>
      </c>
      <c r="AK65" s="316">
        <f>VLOOKUP($C$52,$Q$34:$U$41,4,FALSE)</f>
        <v>0</v>
      </c>
      <c r="AL65" s="322">
        <f>VLOOKUP($C$52,$Q$34:$U$41,5,FALSE)</f>
        <v>0</v>
      </c>
      <c r="AN65" s="331">
        <f>VLOOKUP($C$52,$X$34:$AB$41,2,FALSE)</f>
        <v>0</v>
      </c>
      <c r="AO65" s="316">
        <f>VLOOKUP($C$52,$X$34:$AB$41,3,FALSE)</f>
        <v>0</v>
      </c>
      <c r="AP65" s="316">
        <f>VLOOKUP($C$52,$X$34:$AB$41,4,FALSE)</f>
        <v>0</v>
      </c>
      <c r="AQ65" s="322">
        <f>VLOOKUP($C$52,$X$34:$AB$41,5,FALSE)</f>
        <v>0</v>
      </c>
    </row>
    <row r="66" spans="2:43" x14ac:dyDescent="0.2">
      <c r="E66" s="331">
        <f t="shared" si="15"/>
        <v>0</v>
      </c>
      <c r="F66" s="316">
        <f t="shared" si="16"/>
        <v>0</v>
      </c>
      <c r="G66" s="316">
        <f t="shared" si="17"/>
        <v>0</v>
      </c>
      <c r="H66" s="322">
        <f t="shared" si="18"/>
        <v>0</v>
      </c>
      <c r="J66" s="331">
        <f t="shared" si="19"/>
        <v>0</v>
      </c>
      <c r="K66" s="316">
        <f t="shared" si="20"/>
        <v>0</v>
      </c>
      <c r="L66" s="316">
        <f t="shared" si="21"/>
        <v>0</v>
      </c>
      <c r="M66" s="322">
        <f t="shared" si="22"/>
        <v>0</v>
      </c>
      <c r="O66" s="331">
        <f t="shared" si="23"/>
        <v>0</v>
      </c>
      <c r="P66" s="316">
        <f t="shared" si="12"/>
        <v>0</v>
      </c>
      <c r="Q66" s="316">
        <f t="shared" si="13"/>
        <v>0</v>
      </c>
      <c r="R66" s="322">
        <f t="shared" si="14"/>
        <v>0</v>
      </c>
      <c r="T66" s="331">
        <f>VLOOKUP($C$53,$X$13:$AB$20,2,FALSE)</f>
        <v>0</v>
      </c>
      <c r="U66" s="316">
        <f>VLOOKUP($C$53,$X$13:$AB$20,3,FALSE)</f>
        <v>0</v>
      </c>
      <c r="V66" s="316">
        <f>VLOOKUP($C$53,$X$13:$AB$20,4,FALSE)</f>
        <v>0</v>
      </c>
      <c r="W66" s="322">
        <f>VLOOKUP($C$53,$X$13:$AB$20,5,FALSE)</f>
        <v>0</v>
      </c>
      <c r="Y66" s="331">
        <f>VLOOKUP($C$53,$C$34:$G$41,2,FALSE)</f>
        <v>0</v>
      </c>
      <c r="Z66" s="316">
        <f>VLOOKUP($C$53,$C$34:$G$41,3,FALSE)</f>
        <v>0</v>
      </c>
      <c r="AA66" s="316">
        <f>VLOOKUP($C$53,$C$34:$G$41,4,FALSE)</f>
        <v>0</v>
      </c>
      <c r="AB66" s="322">
        <f>VLOOKUP($C$53,$C$34:$G$41,5,FALSE)</f>
        <v>0</v>
      </c>
      <c r="AD66" s="331">
        <f>VLOOKUP($C$53,$J$34:$N$41,2,FALSE)</f>
        <v>0</v>
      </c>
      <c r="AE66" s="316">
        <f>VLOOKUP($C$53,$J$34:$N$41,3,FALSE)</f>
        <v>0</v>
      </c>
      <c r="AF66" s="316">
        <f>VLOOKUP($C$53,$J$34:$N$41,4,FALSE)</f>
        <v>0</v>
      </c>
      <c r="AG66" s="322">
        <f>VLOOKUP($C$53,$J$34:$N$41,5,FALSE)</f>
        <v>0</v>
      </c>
      <c r="AI66" s="331">
        <f>VLOOKUP($C$53,$Q$34:$U$41,2,FALSE)</f>
        <v>0</v>
      </c>
      <c r="AJ66" s="316">
        <f>VLOOKUP($C$53,$Q$34:$U$41,3,FALSE)</f>
        <v>0</v>
      </c>
      <c r="AK66" s="316">
        <f>VLOOKUP($C$53,$Q$34:$U$41,4,FALSE)</f>
        <v>0</v>
      </c>
      <c r="AL66" s="322">
        <f>VLOOKUP($C$53,$Q$34:$U$41,5,FALSE)</f>
        <v>0</v>
      </c>
      <c r="AN66" s="331">
        <f>VLOOKUP($C$53,$X$34:$AB$41,2,FALSE)</f>
        <v>0</v>
      </c>
      <c r="AO66" s="316">
        <f>VLOOKUP($C$53,$X$34:$AB$41,3,FALSE)</f>
        <v>0</v>
      </c>
      <c r="AP66" s="316">
        <f>VLOOKUP($C$53,$X$34:$AB$41,4,FALSE)</f>
        <v>0</v>
      </c>
      <c r="AQ66" s="322">
        <f>VLOOKUP($C$53,$X$34:$AB$41,5,FALSE)</f>
        <v>0</v>
      </c>
    </row>
    <row r="67" spans="2:43" ht="13.5" thickBot="1" x14ac:dyDescent="0.25">
      <c r="E67" s="332">
        <f t="shared" si="15"/>
        <v>0</v>
      </c>
      <c r="F67" s="323">
        <f t="shared" si="16"/>
        <v>0</v>
      </c>
      <c r="G67" s="323">
        <f t="shared" si="17"/>
        <v>0</v>
      </c>
      <c r="H67" s="324">
        <f t="shared" si="18"/>
        <v>0</v>
      </c>
      <c r="J67" s="332">
        <f t="shared" si="19"/>
        <v>0</v>
      </c>
      <c r="K67" s="323">
        <f t="shared" si="20"/>
        <v>0</v>
      </c>
      <c r="L67" s="323">
        <f t="shared" si="21"/>
        <v>0</v>
      </c>
      <c r="M67" s="324">
        <f t="shared" si="22"/>
        <v>0</v>
      </c>
      <c r="O67" s="332">
        <f t="shared" si="23"/>
        <v>0</v>
      </c>
      <c r="P67" s="323">
        <f t="shared" si="12"/>
        <v>0</v>
      </c>
      <c r="Q67" s="323">
        <f t="shared" si="13"/>
        <v>0</v>
      </c>
      <c r="R67" s="324">
        <f t="shared" si="14"/>
        <v>0</v>
      </c>
      <c r="T67" s="332">
        <f>VLOOKUP($C$54,$X$13:$AB$20,2,FALSE)</f>
        <v>0</v>
      </c>
      <c r="U67" s="323">
        <f>VLOOKUP($C$54,$X$13:$AB$20,3,FALSE)</f>
        <v>0</v>
      </c>
      <c r="V67" s="323">
        <f>VLOOKUP($C$54,$X$13:$AB$20,4,FALSE)</f>
        <v>0</v>
      </c>
      <c r="W67" s="324">
        <f>VLOOKUP($C$54,$X$13:$AB$20,5,FALSE)</f>
        <v>0</v>
      </c>
      <c r="Y67" s="332">
        <f>VLOOKUP($C$54,$C$34:$G$41,2,FALSE)</f>
        <v>0</v>
      </c>
      <c r="Z67" s="323">
        <f>VLOOKUP($C$54,$C$34:$G$41,3,FALSE)</f>
        <v>0</v>
      </c>
      <c r="AA67" s="323">
        <f>VLOOKUP($C$54,$C$34:$G$41,4,FALSE)</f>
        <v>0</v>
      </c>
      <c r="AB67" s="324">
        <f>VLOOKUP($C$54,$C$34:$G$41,5,FALSE)</f>
        <v>0</v>
      </c>
      <c r="AD67" s="332">
        <f>VLOOKUP($C$54,$J$34:$N$41,2,FALSE)</f>
        <v>0</v>
      </c>
      <c r="AE67" s="323">
        <f>VLOOKUP($C$54,$J$34:$N$41,3,FALSE)</f>
        <v>0</v>
      </c>
      <c r="AF67" s="323">
        <f>VLOOKUP($C$54,$J$34:$N$41,4,FALSE)</f>
        <v>0</v>
      </c>
      <c r="AG67" s="324">
        <f>VLOOKUP($C$54,$J$34:$N$41,5,FALSE)</f>
        <v>0</v>
      </c>
      <c r="AI67" s="332">
        <f>VLOOKUP($C$54,$Q$34:$U$41,2,FALSE)</f>
        <v>0</v>
      </c>
      <c r="AJ67" s="323">
        <f>VLOOKUP($C$54,$Q$34:$U$41,3,FALSE)</f>
        <v>0</v>
      </c>
      <c r="AK67" s="323">
        <f>VLOOKUP($C$54,$Q$34:$U$41,4,FALSE)</f>
        <v>0</v>
      </c>
      <c r="AL67" s="324">
        <f>VLOOKUP($C$54,$Q$34:$U$41,5,FALSE)</f>
        <v>0</v>
      </c>
      <c r="AN67" s="332">
        <f>VLOOKUP($C$54,$X$34:$AB$41,2,FALSE)</f>
        <v>0</v>
      </c>
      <c r="AO67" s="323">
        <f>VLOOKUP($C$54,$X$34:$AB$41,3,FALSE)</f>
        <v>0</v>
      </c>
      <c r="AP67" s="323">
        <f>VLOOKUP($C$54,$X$34:$AB$41,4,FALSE)</f>
        <v>0</v>
      </c>
      <c r="AQ67" s="324">
        <f>VLOOKUP($C$54,$X$34:$AB$41,5,FALSE)</f>
        <v>0</v>
      </c>
    </row>
    <row r="69" spans="2:43" ht="13.5" thickBot="1" x14ac:dyDescent="0.25"/>
    <row r="70" spans="2:43" ht="13.5" thickBot="1" x14ac:dyDescent="0.25">
      <c r="B70" s="614" t="s">
        <v>521</v>
      </c>
      <c r="C70" s="615"/>
      <c r="D70" s="615"/>
      <c r="E70" s="615"/>
      <c r="F70" s="615"/>
      <c r="G70" s="615"/>
      <c r="H70" s="615"/>
      <c r="I70" s="615"/>
      <c r="J70" s="615"/>
      <c r="K70" s="615"/>
      <c r="L70" s="616"/>
      <c r="N70" s="620" t="s">
        <v>520</v>
      </c>
      <c r="O70" s="621"/>
      <c r="P70" s="621"/>
      <c r="Q70" s="621"/>
      <c r="R70" s="622"/>
      <c r="S70" s="608" t="s">
        <v>465</v>
      </c>
      <c r="T70" s="609"/>
      <c r="U70" s="609"/>
      <c r="V70" s="610"/>
      <c r="W70" s="608" t="s">
        <v>466</v>
      </c>
      <c r="X70" s="609"/>
      <c r="Y70" s="609"/>
      <c r="Z70" s="610"/>
    </row>
    <row r="71" spans="2:43" ht="13.5" thickBot="1" x14ac:dyDescent="0.25">
      <c r="B71" s="617"/>
      <c r="C71" s="618"/>
      <c r="D71" s="618"/>
      <c r="E71" s="618"/>
      <c r="F71" s="618"/>
      <c r="G71" s="618"/>
      <c r="H71" s="618"/>
      <c r="I71" s="618"/>
      <c r="J71" s="618"/>
      <c r="K71" s="618"/>
      <c r="L71" s="619"/>
      <c r="N71" s="623"/>
      <c r="O71" s="624"/>
      <c r="P71" s="624"/>
      <c r="Q71" s="624"/>
      <c r="R71" s="625"/>
      <c r="S71" s="349" t="s">
        <v>461</v>
      </c>
      <c r="T71" s="328" t="s">
        <v>462</v>
      </c>
      <c r="U71" s="328" t="s">
        <v>463</v>
      </c>
      <c r="V71" s="329" t="s">
        <v>464</v>
      </c>
      <c r="W71" s="349" t="s">
        <v>461</v>
      </c>
      <c r="X71" s="328" t="s">
        <v>462</v>
      </c>
      <c r="Y71" s="328" t="s">
        <v>463</v>
      </c>
      <c r="Z71" s="329" t="s">
        <v>464</v>
      </c>
    </row>
    <row r="72" spans="2:43" ht="13.5" thickBot="1" x14ac:dyDescent="0.25">
      <c r="B72" s="340"/>
      <c r="C72" s="341"/>
      <c r="D72" s="338" t="s">
        <v>475</v>
      </c>
      <c r="E72" s="338" t="s">
        <v>476</v>
      </c>
      <c r="F72" s="338" t="s">
        <v>477</v>
      </c>
      <c r="G72" s="338" t="s">
        <v>478</v>
      </c>
      <c r="H72" s="338" t="s">
        <v>479</v>
      </c>
      <c r="I72" s="338" t="s">
        <v>480</v>
      </c>
      <c r="J72" s="338" t="s">
        <v>481</v>
      </c>
      <c r="K72" s="338" t="s">
        <v>482</v>
      </c>
      <c r="L72" s="339" t="s">
        <v>483</v>
      </c>
      <c r="N72" s="345" t="str">
        <f>IF(OR($R$72=80,$R$72=85),"B8",IF(OR($R$72=94,$R$72=95),"B9","N/A"))</f>
        <v>N/A</v>
      </c>
      <c r="O72" s="346" t="str">
        <f>IF(OR($R$72=10,$R$72=14,$R$72=15),"B1",IF(OR($R$72=20,$R$72=22,$R$72=24,$R$72=25),"B2",IF(OR($R$72=34,$R$72=35),"B3",IF(OR($R$72=40,$R$72=44,$R$72=45),"B4",IF(OR($R$72=50,$R$72=55),"B5",IF(OR($R$72=60,$R$72=64,$R$72=65),"B6",IF(OR($R$72=75),"B7","N/A")))))))</f>
        <v>N/A</v>
      </c>
      <c r="P72" s="347" t="s">
        <v>455</v>
      </c>
      <c r="Q72" s="346" t="str">
        <f>IF($O$72="N/A",$N$72,$O$72)</f>
        <v>N/A</v>
      </c>
      <c r="R72" s="357">
        <f>IF(ISERROR(VLOOKUP(C_Engine_Rating S_take_off1, enum_list!$A$2:$F$102,1,1)),"N/A",VLOOKUP(C_Engine_Rating S_take_off1, enum_list!$A$2:$F$102,1,1))</f>
        <v>0</v>
      </c>
      <c r="S72" s="330">
        <f>IF($Q$72="B1",E46,IF($Q$72="B2",J46,IF($Q$72="B3",O46,IF($Q$72="B4",T46,IF($Q$72="B5",Y46,IF($Q$72="B6",AD46,IF($Q$72="B7",T46,IF($Q$72="B8",AI46,AN46))))))))</f>
        <v>0</v>
      </c>
      <c r="T72" s="320">
        <f>IF($Q$72="B1",F46,IF($Q$72="B2",K46,IF($Q$72="B3",P46,IF($Q$72="B4",U46,IF($Q$72="B5",Z46,IF($Q$72="B6",AE46,IF($Q$72="B7",U46,IF($Q$72="B8",AJ46,AO46))))))))</f>
        <v>0</v>
      </c>
      <c r="U72" s="320">
        <f>IF($Q$72="B1",G46,IF($Q$72="B2",L46,IF($Q$72="B3",Q46,IF($Q$72="B4",V46,IF($Q$72="B5",AA46,IF($Q$72="B6",AF46,IF($Q$72="B7",V46,IF($Q$72="B8",AK46,AP46))))))))</f>
        <v>0</v>
      </c>
      <c r="V72" s="360">
        <f>IF($Q$72="B1",H46,IF($Q$72="B2",M46,IF($Q$72="B3",R46,IF($Q$72="B4",W46,IF($Q$72="B5",AB46,IF($Q$72="B6",AG46,IF($Q$72="B7",W46,IF($Q$72="B8",AL46,AQ46))))))))</f>
        <v>0</v>
      </c>
      <c r="W72" s="330">
        <f>IF($Q$72="B1",E59,IF($Q$72="B2",J59,IF($Q$72="B3",O59,IF($Q$72="B4",T59,IF($Q$72="B5",Y59,IF($Q$72="B6",AD59,IF($Q$72="B7",T59,IF($Q$72="B8",AI59,AN59))))))))</f>
        <v>0</v>
      </c>
      <c r="X72" s="320">
        <f>IF($Q$72="B1",F59,IF($Q$72="B2",K59,IF($Q$72="B3",P59,IF($Q$72="B4",U59,IF($Q$72="B5",Z59,IF($Q$72="B6",AE59,IF($Q$72="B7",U59,IF($Q$72="B8",AJ59,AO59))))))))</f>
        <v>0</v>
      </c>
      <c r="Y72" s="320">
        <f>IF($Q$72="B1",G59,IF($Q$72="B2",L59,IF($Q$72="B3",Q59,IF($Q$72="B4",V59,IF($Q$72="B5",AA59,IF($Q$72="B6",AF59,IF($Q$72="B7",V59,IF($Q$72="B8",AK59,AP59))))))))</f>
        <v>0</v>
      </c>
      <c r="Z72" s="321">
        <f>IF($Q$72="B1",H59,IF($Q$72="B2",M59,IF($Q$72="B3",R59,IF($Q$72="B4",W59,IF($Q$72="B5",AB59,IF($Q$72="B6",AG59,IF($Q$72="B7",W59,IF($Q$72="B8",AL59,AQ59))))))))</f>
        <v>0</v>
      </c>
    </row>
    <row r="73" spans="2:43" x14ac:dyDescent="0.2">
      <c r="B73" s="626" t="s">
        <v>465</v>
      </c>
      <c r="C73" s="370" t="s">
        <v>18</v>
      </c>
      <c r="D73" s="342">
        <f>IF(ISERROR((C_FNK S_take_off1)-$S$72),"N/A",((C_FNK S_take_off1)-$S$72))</f>
        <v>0</v>
      </c>
      <c r="E73" s="342">
        <f>IF(ISERROR((C_FNK S_take_off2)-$S$73),"N/A",((C_FNK S_take_off2)-$S$73))</f>
        <v>0</v>
      </c>
      <c r="F73" s="342">
        <f>IF(ISERROR((C_FNK S_take_off3)-$S$74),"N/A",((C_FNK S_take_off3)-$S$74))</f>
        <v>0</v>
      </c>
      <c r="G73" s="342">
        <f>IF(ISERROR((C_FNK S_take_off4)-$S$75),"N/A",((C_FNK S_take_off4)-$S$75))</f>
        <v>0</v>
      </c>
      <c r="H73" s="342">
        <f>IF(ISERROR((C_FNK S_take_off5)-$S$76),"N/A",((C_FNK S_take_off5)-$S$76))</f>
        <v>0</v>
      </c>
      <c r="I73" s="342" t="str">
        <f>IF(ISERROR((C_FNK S_take_off6)-$S$77),"N/A",((C_FNK S_take_off6)-$S$77))</f>
        <v>N/A</v>
      </c>
      <c r="J73" s="342" t="str">
        <f>IF(ISERROR((C_FNK S_take_off7)-$T$77),"N/A",((C_FNK S_take_off7)-$T$77))</f>
        <v>N/A</v>
      </c>
      <c r="K73" s="342" t="str">
        <f>IF(ISERROR((C_FNK S_take_off8)-$S$79),"N/A",((C_FNK S_take_off8)-$S$79))</f>
        <v>N/A</v>
      </c>
      <c r="L73" s="367" t="str">
        <f>IF(ISERROR((C_FNK S_take_off9)-$S$80),"N/A",((C_FNK S_take_off9)-$S$80))</f>
        <v>N/A</v>
      </c>
      <c r="N73" s="479" t="str">
        <f>IF(OR($R$73=80,$R$73=85),"B8",IF(OR($R$73=94,$R$73=95),"B9","N/A"))</f>
        <v>N/A</v>
      </c>
      <c r="O73" s="478" t="str">
        <f>IF(OR($R$73=10,$R$73=14,$R$73=15),"B1",IF(OR($R$73=20,$R$73=22,$R$73=24,$R$73=25),"B2",IF(OR($R$73=34,$R$73=35),"B3",IF(OR($R$73=40,$R$73=44,$R$73=45),"B4",IF(OR($R$73=50,$R$73=55),"B5",IF(OR($R$73=60,$R$73=64,$R$73=65),"B6",IF(OR($R$73=75),"B7","N/A")))))))</f>
        <v>N/A</v>
      </c>
      <c r="P73" s="162" t="s">
        <v>447</v>
      </c>
      <c r="Q73" s="478" t="str">
        <f>IF($O$73="N/A",$N$73,$O$73)</f>
        <v>N/A</v>
      </c>
      <c r="R73" s="358">
        <f>IF(ISERROR(VLOOKUP(C_Engine_Rating S_take_off2, enum_list!$A$2:$F$102,1,1)),"N/A",VLOOKUP(C_Engine_Rating S_take_off2, enum_list!$A$2:$F$102,1,1))</f>
        <v>0</v>
      </c>
      <c r="S73" s="331">
        <f>IF($Q$73="B1",E47,IF($Q$73="B2",J47,IF($Q$73="B3",O47,IF($Q$73="B4",T47,IF($Q$73="B5",Y47,IF($Q$73="B6",AD47,IF($Q$73="B7",T47,IF($Q$73="B8",AI47,AN47))))))))</f>
        <v>0</v>
      </c>
      <c r="T73" s="316">
        <f>IF($Q$73="B1",F47,IF($Q$73="B2",K47,IF($Q$73="B3",P47,IF($Q$73="B4",U47,IF($Q$73="B5",Z47,IF($Q$73="B6",AE47,IF($Q$73="B7",U47,IF($Q$73="B8",AJ47,AO47))))))))</f>
        <v>0</v>
      </c>
      <c r="U73" s="316">
        <f>IF($Q$73="B1",G47,IF($Q$73="B2",L47,IF($Q$73="B3",Q47,IF($Q$73="B4",V47,IF($Q$73="B5",AA47,IF($Q$73="B6",AF47,IF($Q$73="B7",V47,IF($Q$73="B8",AK47,AP47))))))))</f>
        <v>0</v>
      </c>
      <c r="V73" s="361">
        <f>IF($Q$73="B1",H47,IF($Q$73="B2",M47,IF($Q$73="B3",R47,IF($Q$73="B4",W47,IF($Q$73="B5",AB47,IF($Q$73="B6",AG47,IF($Q$73="B7",W47,IF($Q$73="B8",AL47,AQ47))))))))</f>
        <v>0</v>
      </c>
      <c r="W73" s="331">
        <f>IF($Q$73="B1",E60,IF($Q$73="B2",J60,IF($Q$73="B3",O60,IF($Q$73="B4",T60,IF($Q$73="B5",Y60,IF($Q$73="B6",AD60,IF($Q$73="B7",T60,IF($Q$73="B8",AI60,AN60))))))))</f>
        <v>0</v>
      </c>
      <c r="X73" s="316">
        <f>IF($Q$73="B1",F60,IF($Q$73="B2",K60,IF($Q$73="B3",P60,IF($Q$73="B4",U60,IF($Q$73="B5",Z60,IF($Q$73="B6",AE60,IF($Q$73="B7",U60,IF($Q$73="B8",AJ60,AO60))))))))</f>
        <v>0</v>
      </c>
      <c r="Y73" s="316">
        <f>IF($Q$73="B1",G60,IF($Q$73="B2",L60,IF($Q$73="B3",Q60,IF($Q$73="B4",V60,IF($Q$73="B5",AA60,IF($Q$73="B6",AF60,IF($Q$73="B7",V60,IF($Q$73="B8",AK60,AP60))))))))</f>
        <v>0</v>
      </c>
      <c r="Z73" s="322">
        <f>IF($Q$73="B1",H60,IF($Q$73="B2",M60,IF($Q$73="B3",R60,IF($Q$73="B4",W60,IF($Q$73="B5",AB60,IF($Q$73="B6",AG60,IF($Q$73="B7",W60,IF($Q$73="B8",AL60,AQ60))))))))</f>
        <v>0</v>
      </c>
    </row>
    <row r="74" spans="2:43" x14ac:dyDescent="0.2">
      <c r="B74" s="627"/>
      <c r="C74" s="371" t="s">
        <v>142</v>
      </c>
      <c r="D74" s="342">
        <f>IF(ISERROR((C_EGTK S_take_off1)-$T$72),"N/A",((C_EGTK S_take_off1)-$T$72))</f>
        <v>0</v>
      </c>
      <c r="E74" s="342">
        <f>IF(ISERROR((C_EGTK S_take_off2)-$T$73),"N/A",((C_EGTK S_take_off2)-$T$73))</f>
        <v>0</v>
      </c>
      <c r="F74" s="342">
        <f>IF(ISERROR((C_EGTK S_take_off3)-$T$74),"N/A",((C_EGTK S_take_off3)-$T$74))</f>
        <v>0</v>
      </c>
      <c r="G74" s="342">
        <f>IF(ISERROR((C_EGTK S_take_off4)-$T$75),"N/A",((C_EGTK S_take_off4)-$T$75))</f>
        <v>0</v>
      </c>
      <c r="H74" s="342">
        <f>IF(ISERROR((C_EGTK S_take_off5)-$T$76),"N/A",((C_EGTK S_take_off5)-$T$76))</f>
        <v>0</v>
      </c>
      <c r="I74" s="342" t="str">
        <f>IF(ISERROR((C_EGTK S_take_off6)-$T$77),"N/A",((C_EGTK S_take_off6)-$T$77))</f>
        <v>N/A</v>
      </c>
      <c r="J74" s="342" t="str">
        <f>IF(ISERROR((C_EGTK S_take_off7)-$T$78),"N/A",((C_EGTK S_take_off7)-$T$78))</f>
        <v>N/A</v>
      </c>
      <c r="K74" s="342" t="str">
        <f>IF(ISERROR((C_EGTK S_take_off8)-$T$79),"N/A",((C_EGTK S_take_off8)-$T$79))</f>
        <v>N/A</v>
      </c>
      <c r="L74" s="367" t="str">
        <f>IF(ISERROR((C_EGTK S_take_off9)-$S$80),"N/A",((C_EGTK S_take_off9)-$S$80))</f>
        <v>N/A</v>
      </c>
      <c r="N74" s="479" t="str">
        <f>IF(OR($R$74=80,$R$74=85),"B8",IF(OR($R$74=94,$R$74=95),"B9","N/A"))</f>
        <v>N/A</v>
      </c>
      <c r="O74" s="478" t="str">
        <f>IF(OR($R$74=10,$R$74=14,$R$74=15),"B1",IF(OR($R$74=20,$R$74=22,$R$74=24,$R$74=25),"B2",IF(OR($R$74=34,$R$74=35),"B3",IF(OR($R$74=40,$R$74=44,$R$74=45),"B4",IF(OR($R$74=50,$R$74=55),"B5",IF(OR($R$74=60,$R$74=64,$R$74=65),"B6",IF(OR($R$74=75),"B7","N/A")))))))</f>
        <v>N/A</v>
      </c>
      <c r="P74" s="162" t="s">
        <v>448</v>
      </c>
      <c r="Q74" s="478" t="str">
        <f>IF($O$74="N/A",$N$74,$O$74)</f>
        <v>N/A</v>
      </c>
      <c r="R74" s="358">
        <f>IF(ISERROR(VLOOKUP(C_Engine_Rating S_take_off3, enum_list!$A$2:$F$102,1,1)),"N/A",VLOOKUP(C_Engine_Rating S_take_off3, enum_list!$A$2:$F$102,1,1))</f>
        <v>0</v>
      </c>
      <c r="S74" s="331">
        <f>IF($Q$74="B1",E48,IF($Q$74="B2",J48,IF($Q$74="B3",O48,IF($Q$74="B4",T48,IF($Q$74="B5",Y48,IF($Q$74="B6",AD48,IF($Q$74="B7",T48,IF($Q$74="B8",AI48,AN48))))))))</f>
        <v>0</v>
      </c>
      <c r="T74" s="316">
        <f>IF($Q$74="B1",F48,IF($Q$74="B2",K48,IF($Q$74="B3",P48,IF($Q$74="B4",U48,IF($Q$74="B5",Z48,IF($Q$74="B6",AE48,IF($Q$74="B7",U48,IF($Q$74="B8",AJ48,AO48))))))))</f>
        <v>0</v>
      </c>
      <c r="U74" s="316">
        <f>IF($Q$74="B1",G48,IF($Q$74="B2",L48,IF($Q$74="B3",Q48,IF($Q$74="B4",V48,IF($Q$74="B5",AA48,IF($Q$74="B6",AF48,IF($Q$74="B7",V48,IF($Q$74="B8",AK48,AP48))))))))</f>
        <v>0</v>
      </c>
      <c r="V74" s="361">
        <f>IF($Q$74="B1",H48,IF($Q$74="B2",M48,IF($Q$74="B3",R48,IF($Q$74="B4",W48,IF($Q$74="B5",AB48,IF($Q$74="B6",AG48,IF($Q$74="B7",W48,IF($Q$74="B8",AL48,AQ48))))))))</f>
        <v>0</v>
      </c>
      <c r="W74" s="331">
        <f>IF($Q$74="B1",E61,IF($Q$74="B2",J61,IF($Q$74="B3",O61,IF($Q$74="B4",T61,IF($Q$74="B5",Y61,IF($Q$74="B6",AD61,IF($Q$74="B7",T61,IF($Q$74="B8",AI61,AN61))))))))</f>
        <v>0</v>
      </c>
      <c r="X74" s="316">
        <f>IF($Q$74="B1",F61,IF($Q$74="B2",K61,IF($Q$74="B3",P61,IF($Q$74="B4",U61,IF($Q$74="B5",Z61,IF($Q$74="B6",AE61,IF($Q$74="B7",U61,IF($Q$74="B8",AJ61,AO61))))))))</f>
        <v>0</v>
      </c>
      <c r="Y74" s="316">
        <f>IF($Q$74="B1",G61,IF($Q$74="B2",L61,IF($Q$74="B3",Q61,IF($Q$74="B4",V61,IF($Q$74="B5",AA61,IF($Q$74="B6",AF61,IF($Q$74="B7",V61,IF($Q$74="B8",AK61,AP61))))))))</f>
        <v>0</v>
      </c>
      <c r="Z74" s="322">
        <f>IF($Q$74="B1",H61,IF($Q$74="B2",M61,IF($Q$74="B3",R61,IF($Q$74="B4",W61,IF($Q$74="B5",AB61,IF($Q$74="B6",AG61,IF($Q$74="B7",W61,IF($Q$74="B8",AL61,AQ61))))))))</f>
        <v>0</v>
      </c>
    </row>
    <row r="75" spans="2:43" x14ac:dyDescent="0.2">
      <c r="B75" s="627"/>
      <c r="C75" s="371" t="s">
        <v>36</v>
      </c>
      <c r="D75" s="342">
        <f>IF(ISERROR((C_N2K S_take_off1)-$U$72),"N/A",((C_N2K S_take_off1)-$U$72))</f>
        <v>0</v>
      </c>
      <c r="E75" s="342">
        <f>IF(ISERROR((C_N2K S_take_off2)-$U$73),"N/A",((C_N2K S_take_off2)-$U$73))</f>
        <v>0</v>
      </c>
      <c r="F75" s="342">
        <f>IF(ISERROR((C_N2K S_take_off3)-$U$74),"N/A",((C_N2K S_take_off3)-$U$74))</f>
        <v>0</v>
      </c>
      <c r="G75" s="342">
        <f>IF(ISERROR((C_N2K S_take_off4)-$U$75),"N/A",((C_N2K S_take_off4)-$U$75))</f>
        <v>0</v>
      </c>
      <c r="H75" s="342">
        <f>IF(ISERROR((C_N2K S_take_off5)-$U$76),"N/A",((C_N2K S_take_off5)-$U$76))</f>
        <v>0</v>
      </c>
      <c r="I75" s="342" t="str">
        <f>IF(ISERROR((C_N2K S_take_off6)-$U$77),"N/A",((C_N2K S_take_off6)-$U$77))</f>
        <v>N/A</v>
      </c>
      <c r="J75" s="342" t="str">
        <f>IF(ISERROR((C_N2K S_take_off7)-$U$78),"N/A",((C_N2K S_take_off7)-$U$78))</f>
        <v>N/A</v>
      </c>
      <c r="K75" s="342" t="str">
        <f>IF(ISERROR((C_N2K S_take_off8)-$U$79),"N/A",((C_N2K S_take_off8)-$U$79))</f>
        <v>N/A</v>
      </c>
      <c r="L75" s="367" t="str">
        <f>IF(ISERROR((C_N2K S_take_off9)-$U$80),"N/A",((C_N2K S_take_off9)-$U$80))</f>
        <v>N/A</v>
      </c>
      <c r="N75" s="479" t="str">
        <f>IF(OR($R$75=80,$R$75=85),"B8",IF(OR($R$75=94,$R$75=95),"B9","N/A"))</f>
        <v>N/A</v>
      </c>
      <c r="O75" s="478" t="str">
        <f>IF(OR($R$75=10,$R$75=14,$R$75=15),"B1",IF(OR($R$75=20,$R$75=22,$R$75=24,$R$75=25),"B2",IF(OR($R$75=34,$R$75=35),"B3",IF(OR($R$75=40,$R$75=44,$R$75=45),"B4",IF(OR($R$75=50,$R$75=55),"B5",IF(OR($R$75=60,$R$75=64,$R$75=65),"B6",IF(OR($R$75=75),"B7","N/A")))))))</f>
        <v>N/A</v>
      </c>
      <c r="P75" s="162" t="s">
        <v>449</v>
      </c>
      <c r="Q75" s="478" t="str">
        <f>IF($O$75="N/A",$N$75,$O$75)</f>
        <v>N/A</v>
      </c>
      <c r="R75" s="358">
        <f>IF(ISERROR(VLOOKUP(C_Engine_Rating S_take_off4, enum_list!$A$2:$F$102,1,1)),"N/A",VLOOKUP(C_Engine_Rating S_take_off4, enum_list!$A$2:$F$102,1,1))</f>
        <v>0</v>
      </c>
      <c r="S75" s="331">
        <f>IF($Q$75="B1",E49,IF($Q$75="B2",J49,IF($Q$75="B3",O49,IF($Q$75="B4",T49,IF($Q$75="B5",Y49,IF($Q$75="B6",AD49,IF($Q$75="B7",T49,IF($Q$75="B8",AI49,AN49))))))))</f>
        <v>0</v>
      </c>
      <c r="T75" s="316">
        <f>IF($Q$75="B1",F49,IF($Q$75="B2",K49,IF($Q$75="B3",P49,IF($Q$75="B4",U49,IF($Q$75="B5",Z49,IF($Q$75="B6",AE49,IF($Q$75="B7",U49,IF($Q$75="B8",AJ49,AO49))))))))</f>
        <v>0</v>
      </c>
      <c r="U75" s="316">
        <f>IF($Q$75="B1",G49,IF($Q$75="B2",L49,IF($Q$75="B3",Q49,IF($Q$75="B4",V49,IF($Q$75="B5",AA49,IF($Q$75="B6",AF49,IF($Q$75="B7",V49,IF($Q$75="B8",AK49,AP49))))))))</f>
        <v>0</v>
      </c>
      <c r="V75" s="361">
        <f>IF($Q$75="B1",H49,IF($Q$75="B2",M49,IF($Q$75="B3",R49,IF($Q$75="B4",W49,IF($Q$75="B5",AB49,IF($Q$75="B6",AG49,IF($Q$75="B7",W49,IF($Q$75="B8",AL49,AQ49))))))))</f>
        <v>0</v>
      </c>
      <c r="W75" s="331">
        <f>IF($Q$75="B1",E62,IF($Q$75="B2",J62,IF($Q$75="B3",O62,IF($Q$75="B4",T62,IF($Q$75="B5",Y62,IF($Q$75="B6",AD62,IF($Q$75="B7",T62,IF($Q$75="B8",AI62,AN62))))))))</f>
        <v>0</v>
      </c>
      <c r="X75" s="316">
        <f>IF($Q$75="B1",F62,IF($Q$75="B2",K62,IF($Q$75="B3",P62,IF($Q$75="B4",U62,IF($Q$75="B5",Z62,IF($Q$75="B6",AE62,IF($Q$75="B7",U62,IF($Q$75="B8",AJ62,AO62))))))))</f>
        <v>0</v>
      </c>
      <c r="Y75" s="316">
        <f>IF($Q$75="B1",G62,IF($Q$75="B2",L62,IF($Q$75="B3",Q62,IF($Q$75="B4",V62,IF($Q$75="B5",AA62,IF($Q$75="B6",AF62,IF($Q$75="B7",V62,IF($Q$75="B8",AK62,AP62))))))))</f>
        <v>0</v>
      </c>
      <c r="Z75" s="322">
        <f>IF($Q$75="B1",H62,IF($Q$75="B2",M62,IF($Q$75="B3",R62,IF($Q$75="B4",W62,IF($Q$75="B5",AB62,IF($Q$75="B6",AG62,IF($Q$75="B7",W62,IF($Q$75="B8",AL62,AQ62))))))))</f>
        <v>0</v>
      </c>
    </row>
    <row r="76" spans="2:43" ht="13.5" thickBot="1" x14ac:dyDescent="0.25">
      <c r="B76" s="628"/>
      <c r="C76" s="371" t="s">
        <v>486</v>
      </c>
      <c r="D76" s="342">
        <f>IF(ISERROR((C_N1REF_TO S_take_off1)-$V$72),"N/A",((C_N1REF_TO S_take_off1)-$V$72))</f>
        <v>0</v>
      </c>
      <c r="E76" s="342">
        <f>IF(ISERROR((C_N1REF_TO S_take_off2)-$V$73),"N/A",((C_N1REF_TO S_take_off2)-$V$73))</f>
        <v>0</v>
      </c>
      <c r="F76" s="342">
        <f>IF(ISERROR((C_N1REF_TO S_take_off3)-$V$74),"N/A",((C_N1REF_TO S_take_off3)-$V$74))</f>
        <v>0</v>
      </c>
      <c r="G76" s="342">
        <f>IF(ISERROR((C_N1REF_TO S_take_off4)-$V$75),"N/A",((C_N1REF_TO S_take_off4)-$V$75))</f>
        <v>0</v>
      </c>
      <c r="H76" s="342">
        <f>IF(ISERROR((C_N1REF_TO S_take_off5)-$V$76),"N/A",((C_N1REF_TO S_take_off5)-$V$76))</f>
        <v>0</v>
      </c>
      <c r="I76" s="342" t="str">
        <f>IF(ISERROR((C_N1REF_TO S_take_off6)-$V$77),"N/A",((C_N1REF_TO S_take_off6)-$V$77))</f>
        <v>N/A</v>
      </c>
      <c r="J76" s="342" t="str">
        <f>IF(ISERROR((C_N1REF_TO S_take_off7)-$V$78),"N/A",((C_N1REF_TO S_take_off7)-$V$78))</f>
        <v>N/A</v>
      </c>
      <c r="K76" s="342" t="str">
        <f>IF(ISERROR((C_N1REF_TO S_take_off8)-$V$79),"N/A",((C_N1REF_TO S_take_off8)-$V$79))</f>
        <v>N/A</v>
      </c>
      <c r="L76" s="367" t="str">
        <f>IF(ISERROR((C_N1REF_TO S_take_off9)-$V$80),"N/A",((C_N1REF_TO S_take_off9)-$V$80))</f>
        <v>N/A</v>
      </c>
      <c r="N76" s="479" t="str">
        <f>IF(OR($R$76=80,$R$76=85),"B8",IF(OR($R$76=94,$R$76=95),"B9","N/A"))</f>
        <v>N/A</v>
      </c>
      <c r="O76" s="478" t="str">
        <f>IF(OR($R$76=10,$R$76=14,$R$76=15),"B1",IF(OR($R$76=20,$R$76=22,$R$76=24,$R$76=25),"B2",IF(OR($R$76=34,$R$76=35),"B3",IF(OR($R$76=40,$R$76=44,$R$76=45),"B4",IF(OR($R$76=50,$R$76=55),"B5",IF(OR($R$76=60,$R$76=64,$R$76=65),"B6",IF(OR($R$76=75),"B7","N/A")))))))</f>
        <v>N/A</v>
      </c>
      <c r="P76" s="162" t="s">
        <v>450</v>
      </c>
      <c r="Q76" s="478" t="str">
        <f>IF($O$76="N/A",$N$76,$O$76)</f>
        <v>N/A</v>
      </c>
      <c r="R76" s="358">
        <f>IF(ISERROR(VLOOKUP(C_Engine_Rating S_take_off5, enum_list!$A$2:$F$102,1,1)),"N/A",VLOOKUP(C_Engine_Rating S_take_off5, enum_list!$A$2:$F$102,1,1))</f>
        <v>0</v>
      </c>
      <c r="S76" s="331">
        <f>IF($Q$76="B1",E50,IF($Q$76="B2",J50,IF($Q$76="B3",O50,IF($Q$76="B4",T50,IF($Q$76="B5",Y50,IF($Q$76="B6",AD50,IF($Q$76="B7",T50,IF($Q$76="B8",AI50,AN50))))))))</f>
        <v>0</v>
      </c>
      <c r="T76" s="316">
        <f>IF($Q$76="B1",F50,IF($Q$76="B2",K50,IF($Q$76="B3",P50,IF($Q$76="B4",U50,IF($Q$76="B5",Z50,IF($Q$76="B6",AE50,IF($Q$76="B7",U50,IF($Q$76="B8",AJ50,AO50))))))))</f>
        <v>0</v>
      </c>
      <c r="U76" s="316">
        <f>IF($Q$76="B1",G50,IF($Q$76="B2",L50,IF($Q$76="B3",Q50,IF($Q$76="B4",V50,IF($Q$76="B5",AA50,IF($Q$76="B6",AF50,IF($Q$76="B7",V50,IF($Q$76="B8",AK50,AP50))))))))</f>
        <v>0</v>
      </c>
      <c r="V76" s="361">
        <f>IF($Q$76="B1",H50,IF($Q$76="B2",M50,IF($Q$76="B3",R50,IF($Q$76="B4",W50,IF($Q$76="B5",AB50,IF($Q$76="B6",AG50,IF($Q$76="B7",W50,IF($Q$76="B8",AL50,AQ50))))))))</f>
        <v>0</v>
      </c>
      <c r="W76" s="331">
        <f>IF($Q$76="B1",E63,IF($Q$76="B2",J63,IF($Q$76="B3",O63,IF($Q$76="B4",T63,IF($Q$76="B5",Y63,IF($Q$76="B6",AD63,IF($Q$76="B7",T63,IF($Q$76="B8",AI63,AN63))))))))</f>
        <v>0</v>
      </c>
      <c r="X76" s="316">
        <f>IF($Q$76="B1",F63,IF($Q$76="B2",K63,IF($Q$76="B3",P63,IF($Q$76="B4",U63,IF($Q$76="B5",Z63,IF($Q$76="B6",AE63,IF($Q$76="B7",U63,IF($Q$76="B8",AJ63,AO63))))))))</f>
        <v>0</v>
      </c>
      <c r="Y76" s="316">
        <f>IF($Q$76="B1",G63,IF($Q$76="B2",L63,IF($Q$76="B3",Q63,IF($Q$76="B4",V63,IF($Q$76="B5",AA63,IF($Q$76="B6",AF63,IF($Q$76="B7",V63,IF($Q$76="B8",AK63,AP63))))))))</f>
        <v>0</v>
      </c>
      <c r="Z76" s="322">
        <f>IF($Q$76="B1",H63,IF($Q$76="B2",M63,IF($Q$76="B3",R63,IF($Q$76="B4",W63,IF($Q$76="B5",AB63,IF($Q$76="B6",AG63,IF($Q$76="B7",W63,IF($Q$76="B8",AL63,AQ63))))))))</f>
        <v>0</v>
      </c>
    </row>
    <row r="77" spans="2:43" x14ac:dyDescent="0.2">
      <c r="B77" s="626" t="s">
        <v>466</v>
      </c>
      <c r="C77" s="371" t="s">
        <v>18</v>
      </c>
      <c r="D77" s="342">
        <f>IF(ISERROR((C_FNK S_maxi_continu1)-$W$72),"N/A",((C_FNK S_maxi_continu1)-$W$72))</f>
        <v>0</v>
      </c>
      <c r="E77" s="342">
        <f>IF(ISERROR((C_FNK S_maxi_continu2)-$W$73),"N/A",((C_FNK S_maxi_continu2)-$W$73))</f>
        <v>0</v>
      </c>
      <c r="F77" s="342">
        <f>IF(ISERROR((C_FNK S_maxi_continu3)-$W$74),"N/A",((C_FNK S_maxi_continu3)-$W$74))</f>
        <v>0</v>
      </c>
      <c r="G77" s="342">
        <f>IF(ISERROR((C_FNK S_maxi_continu4)-$W$75),"N/A",((C_FNK S_maxi_continu4)-$W$75))</f>
        <v>0</v>
      </c>
      <c r="H77" s="342">
        <f>IF(ISERROR((C_FNK S_maxi_continu5)-$W$76),"N/A",((C_FNK S_maxi_continu5)-$W$76))</f>
        <v>0</v>
      </c>
      <c r="I77" s="342" t="str">
        <f>IF(ISERROR((C_FNK S_maxi_continu6)-$W$77),"N/A",((C_FNK S_maxi_continu6)-$W$77))</f>
        <v>N/A</v>
      </c>
      <c r="J77" s="342" t="str">
        <f>IF(ISERROR((C_FNK S_maxi_continu7)-$W$78),"N/A",((C_FNK S_maxi_continu7)-$W$78))</f>
        <v>N/A</v>
      </c>
      <c r="K77" s="342" t="str">
        <f>IF(ISERROR((C_FNK S_maxi_continu8)-$W$79),"N/A",((C_FNK S_maxi_continu8)-$W$79))</f>
        <v>N/A</v>
      </c>
      <c r="L77" s="367" t="str">
        <f>IF(ISERROR((C_FNK S_maxi_continu9)-$W$80),"N/A",((C_FNK S_maxi_continu9)-$W$80))</f>
        <v>N/A</v>
      </c>
      <c r="N77" s="479" t="str">
        <f>IF(OR($R$77=80,$R$77=85),"B8",IF(OR($R$77=94,$R$77=95),"B9","N/A"))</f>
        <v>N/A</v>
      </c>
      <c r="O77" s="478" t="str">
        <f>IF(OR($R$77=10,$R$77=14,$R$77=15),"B1",IF(OR($R$77=20,$R$77=22,$R$77=24,$R$77=25),"B2",IF(OR($R$77=34,$R$77=35),"B3",IF(OR($R$77=40,$R$77=44,$R$77=45),"B4",IF(OR($R$77=50,$R$77=55),"B5",IF(OR($R$77=60,$R$77=64,$R$77=65),"B6",IF(OR($R$77=75),"B7","N/A")))))))</f>
        <v>N/A</v>
      </c>
      <c r="P77" s="162" t="s">
        <v>451</v>
      </c>
      <c r="Q77" s="478" t="str">
        <f>IF($O$77="N/A",$N$77,$O$77)</f>
        <v>N/A</v>
      </c>
      <c r="R77" s="358" t="str">
        <f>IF(ISERROR(VLOOKUP(C_Engine_Rating S_take_off6, enum_list!$A$2:$F$102,1,1)),"N/A",VLOOKUP(C_Engine_Rating S_take_off6, enum_list!$A$2:$F$102,1,1))</f>
        <v>N/A</v>
      </c>
      <c r="S77" s="331">
        <f>IF($Q$77="B1",E51,IF($Q$77="B2",J51,IF($Q$77="B3",O51,IF($Q$77="B4",T51,IF($Q$77="B5",Y51,IF($Q$77="B6",AD51,IF($Q$77="B7",T51,IF($Q$77="B8",AI51,AN51))))))))</f>
        <v>0</v>
      </c>
      <c r="T77" s="316">
        <f>IF($Q$77="B1",F51,IF($Q$77="B2",K51,IF($Q$77="B3",P51,IF($Q$77="B4",U51,IF($Q$77="B5",Z51,IF($Q$77="B6",AE51,IF($Q$77="B7",U51,IF($Q$77="B8",AJ51,AO51))))))))</f>
        <v>0</v>
      </c>
      <c r="U77" s="316">
        <f>IF($Q$77="B1",G51,IF($Q$77="B2",L51,IF($Q$77="B3",Q51,IF($Q$77="B4",V51,IF($Q$77="B5",AA51,IF($Q$77="B6",AF51,IF($Q$77="B7",V51,IF($Q$77="B8",AK51,AP51))))))))</f>
        <v>0</v>
      </c>
      <c r="V77" s="361">
        <f>IF($Q$77="B1",H51,IF($Q$77="B2",M51,IF($Q$77="B3",R51,IF($Q$77="B4",W51,IF($Q$77="B5",AB51,IF($Q$77="B6",AG51,IF($Q$77="B7",W51,IF($Q$77="B8",AL51,AQ51))))))))</f>
        <v>0</v>
      </c>
      <c r="W77" s="331">
        <f>IF($Q$77="B1",E64,IF($Q$77="B2",J64,IF($Q$77="B3",O64,IF($Q$77="B4",T64,IF($Q$77="B5",Y64,IF($Q$77="B6",AD64,IF($Q$77="B7",T64,IF($Q$77="B8",AI64,AN64))))))))</f>
        <v>0</v>
      </c>
      <c r="X77" s="316">
        <f>IF($Q$77="B1",F64,IF($Q$77="B2",K64,IF($Q$77="B3",P64,IF($Q$77="B4",U64,IF($Q$77="B5",Z64,IF($Q$77="B6",AE64,IF($Q$77="B7",U64,IF($Q$77="B8",AJ64,AO64))))))))</f>
        <v>0</v>
      </c>
      <c r="Y77" s="316">
        <f>IF($Q$77="B1",G64,IF($Q$77="B2",L64,IF($Q$77="B3",Q64,IF($Q$77="B4",V64,IF($Q$77="B5",AA64,IF($Q$77="B6",AF64,IF($Q$77="B7",V64,IF($Q$77="B8",AK64,AP64))))))))</f>
        <v>0</v>
      </c>
      <c r="Z77" s="322">
        <f>IF($Q$77="B1",H64,IF($Q$77="B2",M64,IF($Q$77="B3",R64,IF($Q$77="B4",W64,IF($Q$77="B5",AB64,IF($Q$77="B6",AG64,IF($Q$77="B7",W64,IF($Q$77="B8",AL64,AQ64))))))))</f>
        <v>0</v>
      </c>
    </row>
    <row r="78" spans="2:43" x14ac:dyDescent="0.2">
      <c r="B78" s="627"/>
      <c r="C78" s="371" t="s">
        <v>142</v>
      </c>
      <c r="D78" s="342">
        <f>IF(ISERROR((C_EGTK S_maxi_continu1)-$X$72),"N/A",((C_EGTK S_maxi_continu1)-$X$72))</f>
        <v>0</v>
      </c>
      <c r="E78" s="342">
        <f>IF(ISERROR((C_EGTK S_maxi_continu2)-$X$73),"N/A",((C_EGTK S_maxi_continu2)-$X$73))</f>
        <v>0</v>
      </c>
      <c r="F78" s="342">
        <f>IF(ISERROR((C_EGTK S_maxi_continu3)-$X$74),"N/A",((C_EGTK S_maxi_continu3)-$X$74))</f>
        <v>0</v>
      </c>
      <c r="G78" s="342">
        <f>IF(ISERROR((C_EGTK S_maxi_continu4)-$X$75),"N/A",((C_EGTK S_maxi_continu4)-$X$75))</f>
        <v>0</v>
      </c>
      <c r="H78" s="342">
        <f>IF(ISERROR((C_EGTK S_maxi_continu5)-$X$76),"N/A",((C_EGTK S_maxi_continu5)-$X$76))</f>
        <v>0</v>
      </c>
      <c r="I78" s="342" t="str">
        <f>IF(ISERROR((C_EGTK S_maxi_continu6)-$X$77),"N/A",((C_EGTK S_maxi_continu6)-$X$77))</f>
        <v>N/A</v>
      </c>
      <c r="J78" s="342" t="str">
        <f>IF(ISERROR((C_EGTK S_maxi_continu7)-$X$78),"N/A",((C_EGTK S_maxi_continu7)-$X$78))</f>
        <v>N/A</v>
      </c>
      <c r="K78" s="342" t="str">
        <f>IF(ISERROR((C_EGTK S_maxi_continu8)-$X$79),"N/A",((C_EGTK S_maxi_continu8)-$X$79))</f>
        <v>N/A</v>
      </c>
      <c r="L78" s="367" t="str">
        <f>IF(ISERROR((C_EGTK S_maxi_continu9)-$X$80),"N/A",((C_EGTK S_maxi_continu9)-$X$80))</f>
        <v>N/A</v>
      </c>
      <c r="N78" s="479" t="str">
        <f>IF(OR($R$78=80,$R$78=85),"B8",IF(OR($R$78=94,$R$78=95),"B9","N/A"))</f>
        <v>N/A</v>
      </c>
      <c r="O78" s="478" t="str">
        <f>IF(OR($R$78=10,$R$78=14,$R$78=15),"B1",IF(OR($R$78=20,$R$78=22,$R$78=24,$R$78=25),"B2",IF(OR($R$78=34,$R$78=35),"B3",IF(OR($R$78=40,$R$78=44,$R$78=45),"B4",IF(OR($R$78=50,$R$78=55),"B5",IF(OR($R$78=60,$R$78=64,$R$78=65),"B6",IF(OR($R$78=75),"B7","N/A")))))))</f>
        <v>N/A</v>
      </c>
      <c r="P78" s="162" t="s">
        <v>452</v>
      </c>
      <c r="Q78" s="478" t="str">
        <f>IF($O$78="N/A",$N$78,$O$78)</f>
        <v>N/A</v>
      </c>
      <c r="R78" s="358" t="str">
        <f>IF(ISERROR(VLOOKUP(C_Engine_Rating S_take_off7, enum_list!$A$2:$F$102,1,1)),"N/A",VLOOKUP(C_Engine_Rating S_take_off7, enum_list!$A$2:$F$102,1,1))</f>
        <v>N/A</v>
      </c>
      <c r="S78" s="331">
        <f>IF($Q$78="B1",E52,IF($Q$78="B2",J52,IF($Q$78="B3",O52,IF($Q$78="B4",T52,IF($Q$78="B5",Y52,IF($Q$78="B6",AD52,IF($Q$78="B7",T52,IF($Q$78="B8",AI52,AN52))))))))</f>
        <v>0</v>
      </c>
      <c r="T78" s="316">
        <f>IF($Q$78="B1",F52,IF($Q$78="B2",K52,IF($Q$78="B3",P52,IF($Q$78="B4",U52,IF($Q$78="B5",Z52,IF($Q$78="B6",AE52,IF($Q$78="B7",U52,IF($Q$78="B8",AJ52,AO52))))))))</f>
        <v>0</v>
      </c>
      <c r="U78" s="316">
        <f>IF($Q$78="B1",G52,IF($Q$78="B2",L52,IF($Q$78="B3",Q52,IF($Q$78="B4",V52,IF($Q$78="B5",AA52,IF($Q$78="B6",AF52,IF($Q$78="B7",V52,IF($Q$78="B8",AK52,AP52))))))))</f>
        <v>0</v>
      </c>
      <c r="V78" s="361">
        <f>IF($Q$78="B1",H52,IF($Q$78="B2",M52,IF($Q$78="B3",R52,IF($Q$78="B4",W52,IF($Q$78="B5",AB52,IF($Q$78="B6",AG52,IF($Q$78="B7",W52,IF($Q$78="B8",AL52,AQ52))))))))</f>
        <v>0</v>
      </c>
      <c r="W78" s="331">
        <f>IF($Q$78="B1",E65,IF($Q$78="B2",J65,IF($Q$78="B3",O65,IF($Q$78="B4",T65,IF($Q$78="B5",Y65,IF($Q$78="B6",AD65,IF($Q$78="B7",T65,IF($Q$78="B8",AI65,AN65))))))))</f>
        <v>0</v>
      </c>
      <c r="X78" s="316">
        <f>IF($Q$78="B1",F65,IF($Q$78="B2",K65,IF($Q$78="B3",P65,IF($Q$78="B4",U65,IF($Q$78="B5",Z65,IF($Q$78="B6",AE65,IF($Q$78="B7",U65,IF($Q$78="B8",AJ65,AO65))))))))</f>
        <v>0</v>
      </c>
      <c r="Y78" s="316">
        <f>IF($Q$78="B1",G65,IF($Q$78="B2",L65,IF($Q$78="B3",Q65,IF($Q$78="B4",V65,IF($Q$78="B5",AA65,IF($Q$78="B6",AF65,IF($Q$78="B7",V65,IF($Q$78="B8",AK65,AP65))))))))</f>
        <v>0</v>
      </c>
      <c r="Z78" s="322">
        <f>IF($Q$78="B1",H65,IF($Q$78="B2",M65,IF($Q$78="B3",R65,IF($Q$78="B4",W65,IF($Q$78="B5",AB65,IF($Q$78="B6",AG65,IF($Q$78="B7",W65,IF($Q$78="B8",AL65,AQ65))))))))</f>
        <v>0</v>
      </c>
    </row>
    <row r="79" spans="2:43" x14ac:dyDescent="0.2">
      <c r="B79" s="627"/>
      <c r="C79" s="371" t="s">
        <v>36</v>
      </c>
      <c r="D79" s="342">
        <f>IF(ISERROR((C_N2K S_maxi_continu1)-$Y$72),"N/A",((C_N2K S_maxi_continu1)-$Y$72))</f>
        <v>0</v>
      </c>
      <c r="E79" s="342">
        <f>IF(ISERROR((C_N2K S_maxi_continu2)-$Y$73),"N/A",((C_N2K S_maxi_continu2)-$Y$73))</f>
        <v>0</v>
      </c>
      <c r="F79" s="342">
        <f>IF(ISERROR((C_N2K S_maxi_continu3)-$Y$74),"N/A",((C_N2K S_maxi_continu3)-$Y$74))</f>
        <v>0</v>
      </c>
      <c r="G79" s="342">
        <f>IF(ISERROR((C_N2K S_maxi_continu4)-$Y$75),"N/A",((C_N2K S_maxi_continu4)-$Y$75))</f>
        <v>0</v>
      </c>
      <c r="H79" s="342">
        <f>IF(ISERROR((C_N2K S_maxi_continu5)-$Y$76),"N/A",((C_N2K S_maxi_continu5)-$Y$76))</f>
        <v>0</v>
      </c>
      <c r="I79" s="342" t="str">
        <f>IF(ISERROR((C_N2K S_maxi_continu6)-$Y$77),"N/A",((C_N2K S_maxi_continu6)-$Y$77))</f>
        <v>N/A</v>
      </c>
      <c r="J79" s="342" t="str">
        <f>IF(ISERROR((C_N2K S_maxi_continu7)-$Y$78),"N/A",((C_N2K S_maxi_continu7)-$Y$78))</f>
        <v>N/A</v>
      </c>
      <c r="K79" s="342" t="str">
        <f>IF(ISERROR((C_N2K S_maxi_continu8)-$Y$79),"N/A",((C_N2K S_maxi_continu8)-$Y$79))</f>
        <v>N/A</v>
      </c>
      <c r="L79" s="367" t="str">
        <f>IF(ISERROR((C_N2K S_maxi_continu9)-$Y$80),"N/A",((C_N2K S_maxi_continu9)-$Y$80))</f>
        <v>N/A</v>
      </c>
      <c r="N79" s="479" t="str">
        <f>IF(OR($R$79=80,$R$79=85),"B8",IF(OR($R$79=94,$R$79=95),"B9","N/A"))</f>
        <v>N/A</v>
      </c>
      <c r="O79" s="478" t="str">
        <f>IF(OR($R$79=10,$R$79=14,$R$79=15),"B1",IF(OR($R$79=20,$R$79=22,$R$79=24,$R$79=25),"B2",IF(OR($R$79=34,$R$79=35),"B3",IF(OR($R$79=40,$R$79=44,$R$79=45),"B4",IF(OR($R$79=50,$R$79=55),"B5",IF(OR($R$79=60,$R$79=64,$R$79=65),"B6",IF(OR($R$79=75),"B7","N/A")))))))</f>
        <v>N/A</v>
      </c>
      <c r="P79" s="162" t="s">
        <v>453</v>
      </c>
      <c r="Q79" s="478" t="str">
        <f>IF($O$79="N/A",$N$79,$O$79)</f>
        <v>N/A</v>
      </c>
      <c r="R79" s="358" t="str">
        <f>IF(ISERROR(VLOOKUP(C_Engine_Rating S_take_off8, enum_list!$A$2:$F$102,1,1)),"N/A",VLOOKUP(C_Engine_Rating S_take_off8, enum_list!$A$2:$F$102,1,1))</f>
        <v>N/A</v>
      </c>
      <c r="S79" s="331">
        <f>IF($Q$79="B1",E53,IF($Q$79="B2",J53,IF($Q$79="B3",O53,IF($Q$79="B4",T53,IF($Q$79="B5",Y53,IF($Q$79="B6",AD53,IF($Q$79="B7",T53,IF($Q$79="B8",AI53,AN53))))))))</f>
        <v>0</v>
      </c>
      <c r="T79" s="316">
        <f>IF($Q$79="B1",F53,IF($Q$79="B2",K53,IF($Q$79="B3",P53,IF($Q$79="B4",U53,IF($Q$79="B5",Z53,IF($Q$79="B6",AE53,IF($Q$79="B7",U53,IF($Q$79="B8",AJ53,AO53))))))))</f>
        <v>0</v>
      </c>
      <c r="U79" s="316">
        <f>IF($Q$79="B1",G53,IF($Q$79="B2",L53,IF($Q$79="B3",Q53,IF($Q$79="B4",V53,IF($Q$79="B5",AA53,IF($Q$79="B6",AF53,IF($Q$79="B7",V53,IF($Q$79="B8",AK53,AP53))))))))</f>
        <v>0</v>
      </c>
      <c r="V79" s="361">
        <f>IF($Q$79="B1",H53,IF($Q$79="B2",M53,IF($Q$79="B3",R53,IF($Q$79="B4",W53,IF($Q$79="B5",AB53,IF($Q$79="B6",AG53,IF($Q$79="B7",W53,IF($Q$79="B8",AL53,AQ53))))))))</f>
        <v>0</v>
      </c>
      <c r="W79" s="331">
        <f>IF($Q$79="B1",E66,IF($Q$79="B2",J66,IF($Q$79="B3",O66,IF($Q$79="B4",T66,IF($Q$79="B5",Y66,IF($Q$79="B6",AD66,IF($Q$79="B7",T66,IF($Q$79="B8",AI66,AN66))))))))</f>
        <v>0</v>
      </c>
      <c r="X79" s="316">
        <f>IF($Q$79="B1",F66,IF($Q$79="B2",K66,IF($Q$79="B3",P66,IF($Q$79="B4",U66,IF($Q$79="B5",Z66,IF($Q$79="B6",AE66,IF($Q$79="B7",U66,IF($Q$79="B8",AJ66,AO66))))))))</f>
        <v>0</v>
      </c>
      <c r="Y79" s="316">
        <f>IF($Q$79="B1",G66,IF($Q$79="B2",L66,IF($Q$79="B3",Q66,IF($Q$79="B4",V66,IF($Q$79="B5",AA66,IF($Q$79="B6",AF66,IF($Q$79="B7",V66,IF($Q$79="B8",AK66,AP66))))))))</f>
        <v>0</v>
      </c>
      <c r="Z79" s="322">
        <f>IF($Q$79="B1",H66,IF($Q$79="B2",M66,IF($Q$79="B3",R66,IF($Q$79="B4",W66,IF($Q$79="B5",AB66,IF($Q$79="B6",AG66,IF($Q$79="B7",W66,IF($Q$79="B8",AL66,AQ66))))))))</f>
        <v>0</v>
      </c>
    </row>
    <row r="80" spans="2:43" ht="13.5" thickBot="1" x14ac:dyDescent="0.25">
      <c r="B80" s="628"/>
      <c r="C80" s="372" t="s">
        <v>486</v>
      </c>
      <c r="D80" s="368">
        <f>IF(ISERROR((C_N1REF_MC S_maxi_continu1)-$Z$72),"N/A",((C_N1REF_MC S_maxi_continu1)-$Z$72))</f>
        <v>0</v>
      </c>
      <c r="E80" s="368">
        <f>IF(ISERROR((C_N1REF_MC S_maxi_continu2)-$Z$73),"N/A",((C_N1REF_MC S_maxi_continu2)-$Z$73))</f>
        <v>0</v>
      </c>
      <c r="F80" s="368">
        <f>IF(ISERROR((C_N1REF_MC S_maxi_continu3)-$Z$74),"N/A",((C_N1REF_MC S_maxi_continu3)-$Z$74))</f>
        <v>0</v>
      </c>
      <c r="G80" s="368">
        <f>IF(ISERROR((C_N1REF_MC S_maxi_continu4)-$Z$75),"N/A",((C_N1REF_MC S_maxi_continu4)-$Z$75))</f>
        <v>0</v>
      </c>
      <c r="H80" s="368">
        <f>IF(ISERROR((C_N1REF_MC S_maxi_continu5)-$Z$76),"N/A",((C_N1REF_MC S_maxi_continu5)-$Z$76))</f>
        <v>0</v>
      </c>
      <c r="I80" s="368" t="str">
        <f>IF(ISERROR((C_N1REF_MC S_maxi_continu6)-$Z$77),"N/A",((C_N1REF_MC S_maxi_continu6)-$Z$77))</f>
        <v>N/A</v>
      </c>
      <c r="J80" s="368" t="str">
        <f>IF(ISERROR((C_N1REF_MC S_maxi_continu7)-$Z$78),"N/A",((C_N1REF_MC S_maxi_continu7)-$Z$78))</f>
        <v>N/A</v>
      </c>
      <c r="K80" s="368" t="str">
        <f>IF(ISERROR((C_N1REF_MC S_maxi_continu8)-$Z$79),"N/A",((C_N1REF_MC S_maxi_continu8)-$Z$79))</f>
        <v>N/A</v>
      </c>
      <c r="L80" s="369" t="str">
        <f>IF(ISERROR((C_N1REF_MC S_maxi_continu9)-$Z$80),"N/A",((C_N1REF_MC S_maxi_continu9)-$Z$80))</f>
        <v>N/A</v>
      </c>
      <c r="N80" s="348" t="str">
        <f>IF(OR($R$80=80,$R$80=85),"B8",IF(OR($R$80=94,$R$80=95),"B9","N/A"))</f>
        <v>N/A</v>
      </c>
      <c r="O80" s="294" t="str">
        <f>IF(OR($R$80=10,$R$80=14,$R$80=15),"B1",IF(OR($R$80=20,$R$80=22,$R$80=24,$R$80=25),"B2",IF(OR($R$80=34,$R$80=35),"B3",IF(OR($R$80=40,$R$80=44,$R$80=45),"B4",IF(OR($R$80=50,$R$80=55),"B5",IF(OR($R$80=60,$R$80=64,$R$80=65),"B6",IF(OR($R$80=75),"B7","N/A")))))))</f>
        <v>N/A</v>
      </c>
      <c r="P80" s="176" t="s">
        <v>454</v>
      </c>
      <c r="Q80" s="294" t="str">
        <f>IF($O$80="N/A",$N$80,$O$80)</f>
        <v>N/A</v>
      </c>
      <c r="R80" s="359" t="str">
        <f>IF(ISERROR(VLOOKUP(C_Engine_Rating S_take_off9, enum_list!$A$2:$F$102,1,1)),"N/A",VLOOKUP(C_Engine_Rating S_take_off9, enum_list!$A$2:$F$102,1,1))</f>
        <v>N/A</v>
      </c>
      <c r="S80" s="332">
        <f>IF($Q$80="B1",E54,IF($Q$80="B2",J54,IF($Q$80="B3",O54,IF($Q$80="B4",T54,IF($Q$80="B5",Y54,IF($Q$80="B6",AD54,IF($Q$80="B7",T54,IF($Q$80="B8",AI54,AN54))))))))</f>
        <v>0</v>
      </c>
      <c r="T80" s="323">
        <f>IF($Q$80="B1",F54,IF($Q$80="B2",K54,IF($Q$80="B3",P54,IF($Q$80="B4",U54,IF($Q$80="B5",Z54,IF($Q$80="B6",AE54,IF($Q$80="B7",U54,IF($Q$80="B8",AJ54,AO54))))))))</f>
        <v>0</v>
      </c>
      <c r="U80" s="323">
        <f>IF($Q$80="B1",G54,IF($Q$80="B2",L54,IF($Q$80="B3",Q54,IF($Q$80="B4",V54,IF($Q$80="B5",AA54,IF($Q$80="B6",AF54,IF($Q$80="B7",V54,IF($Q$80="B8",AK54,AP54))))))))</f>
        <v>0</v>
      </c>
      <c r="V80" s="362">
        <f>IF($Q$80="B1",H54,IF($Q$80="B2",M54,IF($Q$80="B3",R54,IF($Q$80="B4",W54,IF($Q$80="B5",AB54,IF($Q$80="B6",AG54,IF($Q$80="B7",W54,IF($Q$80="B8",AL54,AQ54))))))))</f>
        <v>0</v>
      </c>
      <c r="W80" s="332">
        <f>IF($Q$80="B1",E67,IF($Q$80="B2",J67,IF($Q$80="B3",O67,IF($Q$80="B4",T67,IF($Q$80="B5",Y67,IF($Q$80="B6",AD67,IF($Q$80="B7",T67,IF($Q$80="B8",AI67,AN67))))))))</f>
        <v>0</v>
      </c>
      <c r="X80" s="323">
        <f>IF($Q$80="B1",F67,IF($Q$80="B2",K67,IF($Q$80="B3",P67,IF($Q$80="B4",U67,IF($Q$80="B5",Z67,IF($Q$80="B6",AE67,IF($Q$80="B7",U67,IF($Q$80="B8",AJ67,AO67))))))))</f>
        <v>0</v>
      </c>
      <c r="Y80" s="323">
        <f>IF($Q$80="B1",G67,IF($Q$80="B2",L67,IF($Q$80="B3",Q67,IF($Q$80="B4",V67,IF($Q$80="B5",AA67,IF($Q$80="B6",AF67,IF($Q$80="B7",V67,IF($Q$80="B8",AK67,AP67))))))))</f>
        <v>0</v>
      </c>
      <c r="Z80" s="324">
        <f>IF($Q$80="B1",H67,IF($Q$80="B2",M67,IF($Q$80="B3",R67,IF($Q$80="B4",W67,IF($Q$80="B5",AB67,IF($Q$80="B6",AG67,IF($Q$80="B7",W67,IF($Q$80="B8",AL67,AQ67))))))))</f>
        <v>0</v>
      </c>
    </row>
    <row r="81" spans="2:12" ht="13.5" thickBot="1" x14ac:dyDescent="0.25"/>
    <row r="82" spans="2:12" x14ac:dyDescent="0.2">
      <c r="B82" s="614" t="s">
        <v>522</v>
      </c>
      <c r="C82" s="615"/>
      <c r="D82" s="615"/>
      <c r="E82" s="615"/>
      <c r="F82" s="615"/>
      <c r="G82" s="615"/>
      <c r="H82" s="615"/>
      <c r="I82" s="615"/>
      <c r="J82" s="615"/>
      <c r="K82" s="615"/>
      <c r="L82" s="616"/>
    </row>
    <row r="83" spans="2:12" ht="13.5" thickBot="1" x14ac:dyDescent="0.25">
      <c r="B83" s="617"/>
      <c r="C83" s="618"/>
      <c r="D83" s="618"/>
      <c r="E83" s="618"/>
      <c r="F83" s="618"/>
      <c r="G83" s="618"/>
      <c r="H83" s="618"/>
      <c r="I83" s="618"/>
      <c r="J83" s="618"/>
      <c r="K83" s="618"/>
      <c r="L83" s="619"/>
    </row>
    <row r="84" spans="2:12" ht="13.5" thickBot="1" x14ac:dyDescent="0.25">
      <c r="B84" s="366"/>
      <c r="C84" s="60"/>
      <c r="D84" s="364" t="s">
        <v>475</v>
      </c>
      <c r="E84" s="364" t="s">
        <v>476</v>
      </c>
      <c r="F84" s="364" t="s">
        <v>477</v>
      </c>
      <c r="G84" s="364" t="s">
        <v>478</v>
      </c>
      <c r="H84" s="364" t="s">
        <v>479</v>
      </c>
      <c r="I84" s="364" t="s">
        <v>480</v>
      </c>
      <c r="J84" s="364" t="s">
        <v>481</v>
      </c>
      <c r="K84" s="364" t="s">
        <v>482</v>
      </c>
      <c r="L84" s="365" t="s">
        <v>483</v>
      </c>
    </row>
    <row r="85" spans="2:12" x14ac:dyDescent="0.2">
      <c r="B85" s="629" t="s">
        <v>465</v>
      </c>
      <c r="C85" s="373" t="s">
        <v>34</v>
      </c>
      <c r="D85" s="342">
        <f>IF(ISERROR(C_N2R2HD S_take_off1 -$U$72),"N/A",(C_N2R2HD S_take_off1 -$U$72))</f>
        <v>0</v>
      </c>
      <c r="E85" s="342">
        <f>IF(ISERROR(C_N2R2HD S_take_off2 -$U$73),"N/A",(C_N2R2HD S_take_off2 -$U$73))</f>
        <v>0</v>
      </c>
      <c r="F85" s="342">
        <f>IF(ISERROR(C_N2R2HD S_take_off3-$U$74),"N/A",(C_N2R2HD S_take_off3-$U$74))</f>
        <v>0</v>
      </c>
      <c r="G85" s="342">
        <f>IF(ISERROR(C_N2R2HD S_take_off4-$U$75),"N/A",(C_N2R2HD S_take_off4-$U$75))</f>
        <v>0</v>
      </c>
      <c r="H85" s="342">
        <f>IF(ISERROR(C_N2R2HD S_take_off5-$U$76),"N/A",(C_N2R2HD S_take_off5-$U$76))</f>
        <v>0</v>
      </c>
      <c r="I85" s="342" t="str">
        <f>IF(ISERROR(C_N2R2HD S_take_off6-$U$77),"N/A",(C_N2R2HD S_take_off6-$U$77))</f>
        <v>N/A</v>
      </c>
      <c r="J85" s="342" t="str">
        <f>IF(ISERROR(C_N2R2HD S_take_off7-$U$78),"N/A",(C_N2R2HD S_take_off7-$U$78))</f>
        <v>N/A</v>
      </c>
      <c r="K85" s="342" t="str">
        <f>IF(ISERROR(C_N2R2HD S_take_off8-$U$79),"N/A",(C_N2R2HD S_take_off8-$U$79))</f>
        <v>N/A</v>
      </c>
      <c r="L85" s="367" t="str">
        <f>IF(ISERROR(C_N2R2HD S_take_off9-$U$80),"N/A",(C_N2R2HD S_take_off9-$U$80))</f>
        <v>N/A</v>
      </c>
    </row>
    <row r="86" spans="2:12" ht="13.5" thickBot="1" x14ac:dyDescent="0.25">
      <c r="B86" s="630"/>
      <c r="C86" s="373" t="s">
        <v>5</v>
      </c>
      <c r="D86" s="342" t="str">
        <f>IF(ISERROR((($D$74-C_KSHUNT S_take_off1+273.15)*C_THETA_HD S_take_off1^C_XEGT S_take_off1-273.15)+C_KSHUNT S_take_off1+C_EGT_TRIM S_take_off1),"N/A",((($D$74-C_KSHUNT S_take_off1+273.15)*C_THETA_HD S_take_off1^C_XEGT S_take_off1-273.15)+C_KSHUNT S_take_off1+C_EGT_TRIM S_take_off1))</f>
        <v>N/A</v>
      </c>
      <c r="E86" s="342" t="str">
        <f>IF(ISERROR((($E$74-C_KSHUNT S_take_off2+273.15)*C_THETA_HD S_take_off2^C_XEGT S_take_off2-273.15)+C_KSHUNT S_take_off2+C_EGT_TRIM S_take_off2),"N/A",((($E$74-C_KSHUNT S_take_off2+273.15)*C_THETA_HD S_take_off2^C_XEGT S_take_off2-273.15)+C_KSHUNT S_take_off2+C_EGT_TRIM S_take_off2))</f>
        <v>N/A</v>
      </c>
      <c r="F86" s="342" t="str">
        <f>IF(ISERROR((($F$74-C_KSHUNT S_take_off3+273.15)*C_THETA_HD S_take_off3^C_XEGT S_take_off3-273.15)+C_KSHUNT S_take_off3+C_EGT_TRIM S_take_off3),"N/A",((($F$74-C_KSHUNT S_take_off3+273.15)*C_THETA_HD S_take_off3^C_XEGT S_take_off3-273.15)+C_KSHUNT S_take_off3+C_EGT_TRIM S_take_off3))</f>
        <v>N/A</v>
      </c>
      <c r="G86" s="342" t="str">
        <f>IF(ISERROR((($G$74-C_KSHUNT S_take_off4+273.15)*C_THETA_HD S_take_off4^C_XEGT S_take_off4-273.15)+C_KSHUNT S_take_off4+C_EGT_TRIM S_take_off4),"N/A",((($G$74-C_KSHUNT S_take_off4+273.15)*C_THETA_HD S_take_off4^C_XEGT S_take_off4-273.15)+C_KSHUNT S_take_off4+C_EGT_TRIM S_take_off4))</f>
        <v>N/A</v>
      </c>
      <c r="H86" s="342" t="str">
        <f>IF(ISERROR((($H$74-C_KSHUNT S_take_off5+273.15)*C_THETA_HD S_take_off5^C_XEGT S_take_off5-273.15)+C_KSHUNT S_take_off5+C_EGT_TRIM S_take_off5),"N/A",((($H$74-C_KSHUNT S_take_off5+273.15)*C_THETA_HD S_take_off5^C_XEGT S_take_off5-273.15)+C_KSHUNT S_take_off5+C_EGT_TRIM S_take_off5))</f>
        <v>N/A</v>
      </c>
      <c r="I86" s="342" t="str">
        <f>IF(ISERROR((($I$74-C_KSHUNT S_take_off6+273.15)*C_THETA_HD S_take_off6^C_XEGT S_take_off6-273.15)+C_KSHUNT S_take_off6+C_EGT_TRIM S_take_off6),"N/A",((($I$74-C_KSHUNT S_take_off6+273.15)*C_THETA_HD S_take_off6^C_XEGT S_take_off6-273.15)+C_KSHUNT S_take_off6+C_EGT_TRIM S_take_off6))</f>
        <v>N/A</v>
      </c>
      <c r="J86" s="342" t="str">
        <f>IF(ISERROR((($J$74-C_KSHUNT S_take_off7+273.15)*C_THETA_HD S_take_off7^C_XEGT S_take_off7-273.15)+C_KSHUNT S_take_off7+C_EGT_TRIM S_take_off7),"N/A",((($J$74-C_KSHUNT S_take_off7+273.15)*C_THETA_HD S_take_off7^C_XEGT S_take_off7-273.15)+C_KSHUNT S_take_off7+C_EGT_TRIM S_take_off7))</f>
        <v>N/A</v>
      </c>
      <c r="K86" s="342" t="str">
        <f>IF(ISERROR((($K$74-C_KSHUNT S_take_off8+273.15)*C_THETA_HD S_take_off8^C_XEGT S_take_off8-273.15)+C_KSHUNT S_take_off8+C_EGT_TRIM S_take_off8),"N/A",((($K$74-C_KSHUNT S_take_off8+273.15)*C_THETA_HD S_take_off8^C_XEGT S_take_off8-273.15)+C_KSHUNT S_take_off8+C_EGT_TRIM S_take_off8))</f>
        <v>N/A</v>
      </c>
      <c r="L86" s="367" t="str">
        <f>IF(ISERROR((($L$74-C_KSHUNT S_take_off9+273.15)*C_THETA_HD S_take_off9^C_XEGT S_take_off9-273.15)+C_KSHUNT S_take_off9+C_EGT_TRIM S_take_off9),"N/A",((($L$74-C_KSHUNT S_take_off9+273.15)*C_THETA_HD S_take_off9^C_XEGT S_take_off9-273.15)+C_KSHUNT S_take_off9+C_EGT_TRIM S_take_off9))</f>
        <v>N/A</v>
      </c>
    </row>
    <row r="87" spans="2:12" x14ac:dyDescent="0.2">
      <c r="B87" s="629" t="s">
        <v>466</v>
      </c>
      <c r="C87" s="373" t="s">
        <v>34</v>
      </c>
      <c r="D87" s="342">
        <f>IF(ISERROR(C_N2R2HD S_maxi_continu1 -$Y$72),"N/A",(C_N2R2HD S_maxi_continu1 -$Y$72))</f>
        <v>0</v>
      </c>
      <c r="E87" s="342">
        <f>IF(ISERROR(C_N2R2HD S_maxi_continu2 -$Y$73),"N/A",(C_N2R2HD S_maxi_continu2 -$Y$73))</f>
        <v>0</v>
      </c>
      <c r="F87" s="342">
        <f>IF(ISERROR(C_N2R2HD S_maxi_continu3-$Y$74),"N/A",(C_N2R2HD S_maxi_continu3-$Y$74))</f>
        <v>0</v>
      </c>
      <c r="G87" s="342">
        <f>IF(ISERROR(C_N2R2HD S_maxi_continu4-$Y$75),"N/A",(C_N2R2HD S_maxi_continu4-$Y$75))</f>
        <v>0</v>
      </c>
      <c r="H87" s="342">
        <f>IF(ISERROR(C_N2R2HD S_maxi_continu5-$Y$76),"N/A",(C_N2R2HD S_maxi_continu5-$Y$76))</f>
        <v>0</v>
      </c>
      <c r="I87" s="342" t="str">
        <f>IF(ISERROR(C_N2R2HD S_maxi_continu6-$Y$77),"N/A",(C_N2R2HD S_maxi_continu6-$Y$77))</f>
        <v>N/A</v>
      </c>
      <c r="J87" s="342" t="str">
        <f>IF(ISERROR(C_N2R2HD S_maxi_continu7-$Y$78),"N/A",(C_N2R2HD S_maxi_continu7-$Y$78))</f>
        <v>N/A</v>
      </c>
      <c r="K87" s="342" t="str">
        <f>IF(ISERROR(C_N2R2HD S_maxi_continu8-$Y$79),"N/A",(C_N2R2HD S_maxi_continu8-$Y$79))</f>
        <v>N/A</v>
      </c>
      <c r="L87" s="367" t="str">
        <f>IF(ISERROR(C_N2R2HD S_maxi_continu9-$Y$80),"N/A",(C_N2R2HD S_maxi_continu9-$Y$80))</f>
        <v>N/A</v>
      </c>
    </row>
    <row r="88" spans="2:12" ht="13.5" thickBot="1" x14ac:dyDescent="0.25">
      <c r="B88" s="630"/>
      <c r="C88" s="374" t="s">
        <v>5</v>
      </c>
      <c r="D88" s="368" t="str">
        <f>IF(ISERROR((($D$74-C_KSHUNT S_maxi_continu1+273.15)*C_THETA_HD S_maxi_continu1^C_XEGT S_maxi_continu1-273.15)+C_KSHUNT S_maxi_continu1+C_EGT_TRIM S_maxi_continu1),"N/A",((($D$74-C_KSHUNT S_maxi_continu1+273.15)*C_THETA_HD S_maxi_continu1^C_XEGT S_maxi_continu1-273.15)+C_KSHUNT S_maxi_continu1+C_EGT_TRIM S_maxi_continu1))</f>
        <v>N/A</v>
      </c>
      <c r="E88" s="368" t="str">
        <f>IF(ISERROR((($E$74-C_KSHUNT S_maxi_continu2+273.15)*C_THETA_HD S_maxi_continu2^C_XEGT S_maxi_continu2-273.15)+C_KSHUNT S_maxi_continu2+C_EGT_TRIM S_maxi_continu2),"N/A",((($E$74-C_KSHUNT S_maxi_continu2+273.15)*C_THETA_HD S_maxi_continu2^C_XEGT S_maxi_continu2-273.15)+C_KSHUNT S_maxi_continu2+C_EGT_TRIM S_maxi_continu2))</f>
        <v>N/A</v>
      </c>
      <c r="F88" s="368" t="str">
        <f>IF(ISERROR((($F$74-C_KSHUNT S_maxi_continu3+273.15)*C_THETA_HD S_maxi_continu3^C_XEGT S_maxi_continu3-273.15)+C_KSHUNT S_maxi_continu3+C_EGT_TRIM S_maxi_continu3),"N/A",((($F$74-C_KSHUNT S_maxi_continu3+273.15)*C_THETA_HD S_maxi_continu3^C_XEGT S_maxi_continu3-273.15)+C_KSHUNT S_maxi_continu3+C_EGT_TRIM S_maxi_continu3))</f>
        <v>N/A</v>
      </c>
      <c r="G88" s="368" t="str">
        <f>IF(ISERROR((($G$74-C_KSHUNT S_maxi_continu4+273.15)*C_THETA_HD S_maxi_continu4^C_XEGT S_maxi_continu4-273.15)+C_KSHUNT S_maxi_continu4+C_EGT_TRIM S_maxi_continu4),"N/A",((($G$74-C_KSHUNT S_maxi_continu4+273.15)*C_THETA_HD S_maxi_continu4^C_XEGT S_maxi_continu4-273.15)+C_KSHUNT S_maxi_continu4+C_EGT_TRIM S_maxi_continu4))</f>
        <v>N/A</v>
      </c>
      <c r="H88" s="368" t="str">
        <f>IF(ISERROR((($H$74-C_KSHUNT S_maxi_continu5+273.15)*C_THETA_HD S_maxi_continu5^C_XEGT S_maxi_continu5-273.15)+C_KSHUNT S_maxi_continu5+C_EGT_TRIM S_maxi_continu5),"N/A",((($H$74-C_KSHUNT S_maxi_continu5+273.15)*C_THETA_HD S_maxi_continu5^C_XEGT S_maxi_continu5-273.15)+C_KSHUNT S_maxi_continu5+C_EGT_TRIM S_maxi_continu5))</f>
        <v>N/A</v>
      </c>
      <c r="I88" s="368" t="str">
        <f>IF(ISERROR((($I$74-C_KSHUNT S_maxi_continu6+273.15)*C_THETA_HD S_maxi_continu6^C_XEGT S_maxi_continu6-273.15)+C_KSHUNT S_maxi_continu6+C_EGT_TRIM S_maxi_continu6),"N/A",((($I$74-C_KSHUNT S_maxi_continu6+273.15)*C_THETA_HD S_maxi_continu6^C_XEGT S_maxi_continu6-273.15)+C_KSHUNT S_maxi_continu6+C_EGT_TRIM S_maxi_continu6))</f>
        <v>N/A</v>
      </c>
      <c r="J88" s="368" t="str">
        <f>IF(ISERROR((($J$74-C_KSHUNT S_maxi_continu7+273.15)*C_THETA_HD S_maxi_continu7^C_XEGT S_maxi_continu7-273.15)+C_KSHUNT S_maxi_continu7+C_EGT_TRIM S_maxi_continu7),"N/A",((($J$74-C_KSHUNT S_maxi_continu7+273.15)*C_THETA_HD S_maxi_continu7^C_XEGT S_maxi_continu7-273.15)+C_KSHUNT S_maxi_continu7+C_EGT_TRIM S_maxi_continu7))</f>
        <v>N/A</v>
      </c>
      <c r="K88" s="368" t="str">
        <f>IF(ISERROR((($K$74-C_KSHUNT S_maxi_continu8+273.15)*C_THETA_HD S_maxi_continu8^C_XEGT S_maxi_continu8-273.15)+C_KSHUNT S_maxi_continu8+C_EGT_TRIM S_maxi_continu8),"N/A",((($K$74-C_KSHUNT S_maxi_continu8+273.15)*C_THETA_HD S_maxi_continu8^C_XEGT S_maxi_continu8-273.15)+C_KSHUNT S_maxi_continu8+C_EGT_TRIM S_maxi_continu8))</f>
        <v>N/A</v>
      </c>
      <c r="L88" s="369" t="str">
        <f>IF(ISERROR((($L$74-C_KSHUNT S_maxi_continu9+273.15)*C_THETA_HD S_maxi_continu9^C_XEGT S_maxi_continu9-273.15)+C_KSHUNT S_maxi_continu9+C_EGT_TRIM S_maxi_continu9),"N/A",((($L$74-C_KSHUNT S_maxi_continu9+273.15)*C_THETA_HD S_maxi_continu9^C_XEGT S_maxi_continu9-273.15)+C_KSHUNT S_maxi_continu9+C_EGT_TRIM S_maxi_continu9))</f>
        <v>N/A</v>
      </c>
    </row>
    <row r="89" spans="2:12" ht="13.5" thickBot="1" x14ac:dyDescent="0.25"/>
    <row r="90" spans="2:12" x14ac:dyDescent="0.2">
      <c r="B90" s="614" t="s">
        <v>485</v>
      </c>
      <c r="C90" s="615"/>
      <c r="D90" s="615"/>
      <c r="E90" s="615"/>
      <c r="F90" s="615"/>
      <c r="G90" s="615"/>
      <c r="H90" s="615"/>
      <c r="I90" s="615"/>
      <c r="J90" s="615"/>
      <c r="K90" s="615"/>
      <c r="L90" s="616"/>
    </row>
    <row r="91" spans="2:12" ht="13.5" thickBot="1" x14ac:dyDescent="0.25">
      <c r="B91" s="617"/>
      <c r="C91" s="618"/>
      <c r="D91" s="618"/>
      <c r="E91" s="618"/>
      <c r="F91" s="618"/>
      <c r="G91" s="618"/>
      <c r="H91" s="618"/>
      <c r="I91" s="618"/>
      <c r="J91" s="618"/>
      <c r="K91" s="618"/>
      <c r="L91" s="619"/>
    </row>
    <row r="92" spans="2:12" ht="13.5" thickBot="1" x14ac:dyDescent="0.25">
      <c r="B92" s="375"/>
      <c r="C92" s="376"/>
      <c r="D92" s="338" t="s">
        <v>475</v>
      </c>
      <c r="E92" s="338" t="s">
        <v>476</v>
      </c>
      <c r="F92" s="338" t="s">
        <v>477</v>
      </c>
      <c r="G92" s="338" t="s">
        <v>478</v>
      </c>
      <c r="H92" s="338" t="s">
        <v>479</v>
      </c>
      <c r="I92" s="338" t="s">
        <v>480</v>
      </c>
      <c r="J92" s="338" t="s">
        <v>481</v>
      </c>
      <c r="K92" s="338" t="s">
        <v>482</v>
      </c>
      <c r="L92" s="339" t="s">
        <v>483</v>
      </c>
    </row>
    <row r="93" spans="2:12" ht="13.5" thickBot="1" x14ac:dyDescent="0.25">
      <c r="B93" s="477" t="s">
        <v>465</v>
      </c>
      <c r="C93" s="371" t="s">
        <v>499</v>
      </c>
      <c r="D93" s="342" t="str">
        <f>IF(ISERROR($D$76*(C_THETA_HD S_take_off1^C_EXPN1M S_take_off1)),"N/A",($D$76*(C_THETA_HD S_take_off1^C_EXPN1M S_take_off1)))</f>
        <v>N/A</v>
      </c>
      <c r="E93" s="342" t="str">
        <f>IF(ISERROR($E$76*(C_THETA_HD S_take_off2^C_EXPN1M S_take_off2)),"N/A",($E$76*(C_THETA_HD S_take_off2^C_EXPN1M S_take_off2)))</f>
        <v>N/A</v>
      </c>
      <c r="F93" s="342" t="str">
        <f>IF(ISERROR($F$76*(C_THETA_HD S_take_off3^C_EXPN1M S_take_off3)),"N/A",($F$76*(C_THETA_HD S_take_off3^C_EXPN1M S_take_off3)))</f>
        <v>N/A</v>
      </c>
      <c r="G93" s="342" t="str">
        <f>IF(ISERROR($G$76*(C_THETA_HD S_take_off4^C_EXPN1M S_take_off4)),"N/A",($G$76*(C_THETA_HD S_take_off4^C_EXPN1M S_take_off4)))</f>
        <v>N/A</v>
      </c>
      <c r="H93" s="342" t="str">
        <f>IF(ISERROR($H$76*(C_THETA_HD S_take_off5^C_EXPN1M S_take_off5)),"N/A",($H$76*(C_THETA_HD S_take_off5^C_EXPN1M S_take_off5)))</f>
        <v>N/A</v>
      </c>
      <c r="I93" s="342" t="str">
        <f>IF(ISERROR($I$76*(C_THETA_HD S_take_off6^C_EXPN1M S_take_off6)),"N/A",($I$76*(C_THETA_HD S_take_off6^C_EXPN1M S_take_off6)))</f>
        <v>N/A</v>
      </c>
      <c r="J93" s="342" t="str">
        <f>IF(ISERROR($J$76*(C_THETA_HD S_take_off7^C_EXPN1M S_take_off7)),"N/A",($J$76*(C_THETA_HD S_take_off7^C_EXPN1M S_take_off7)))</f>
        <v>N/A</v>
      </c>
      <c r="K93" s="342" t="str">
        <f>IF(ISERROR($K$76*(C_THETA_HD S_take_off8^C_EXPN1M S_take_off8)),"N/A",($K$76*(C_THETA_HD S_take_off8^C_EXPN1M S_take_off8)))</f>
        <v>N/A</v>
      </c>
      <c r="L93" s="367" t="str">
        <f>IF(ISERROR($L$76*(C_THETA_HD S_take_off9^C_EXPN1M S_take_off9)),"N/A",($L$76*(C_THETA_HD S_take_off9^C_EXPN1M S_take_off9)))</f>
        <v>N/A</v>
      </c>
    </row>
    <row r="94" spans="2:12" ht="13.5" thickBot="1" x14ac:dyDescent="0.25">
      <c r="B94" s="477" t="s">
        <v>466</v>
      </c>
      <c r="C94" s="372" t="s">
        <v>499</v>
      </c>
      <c r="D94" s="368" t="str">
        <f>IF(ISERROR($D$80*(C_THETA_HD S_maxi_continu1^C_EXPN1M S_maxi_continu1)),"N/A",($D$80*(C_THETA_HD S_maxi_continu1^C_EXPN1M S_maxi_continu1)))</f>
        <v>N/A</v>
      </c>
      <c r="E94" s="368" t="str">
        <f>IF(ISERROR($E$80*(C_THETA_HD S_maxi_continu2^C_EXPN1M S_maxi_continu2)),"N/A",($E$80*(C_THETA_HD S_maxi_continu2^C_EXPN1M S_maxi_continu2)))</f>
        <v>N/A</v>
      </c>
      <c r="F94" s="368" t="str">
        <f>IF(ISERROR($F$80*(C_THETA_HD S_maxi_continu3^C_EXPN1M S_maxi_continu3)),"N/A",($F$80*(C_THETA_HD S_maxi_continu3^C_EXPN1M S_maxi_continu3)))</f>
        <v>N/A</v>
      </c>
      <c r="G94" s="368" t="str">
        <f>IF(ISERROR($G$80*(C_THETA_HD S_maxi_continu4^C_EXPN1M S_maxi_continu4)),"N/A",($G$80*(C_THETA_HD S_maxi_continu4^C_EXPN1M S_maxi_continu4)))</f>
        <v>N/A</v>
      </c>
      <c r="H94" s="368" t="str">
        <f>IF(ISERROR($H$80*(C_THETA_HD S_maxi_continu5^C_EXPN1M S_maxi_continu5)),"N/A",($H$80*(C_THETA_HD S_maxi_continu5^C_EXPN1M S_maxi_continu5)))</f>
        <v>N/A</v>
      </c>
      <c r="I94" s="368" t="str">
        <f>IF(ISERROR($I$80*(C_THETA_HD S_maxi_continu6^C_EXPN1M S_maxi_continu6)),"N/A",($I$80*(C_THETA_HD S_maxi_continu6^C_EXPN1M S_maxi_continu6)))</f>
        <v>N/A</v>
      </c>
      <c r="J94" s="368" t="str">
        <f>IF(ISERROR($J$80*(C_THETA_HD S_maxi_continu7^C_EXPN1M S_maxi_continu7)),"N/A",($J$80*(C_THETA_HD S_maxi_continu7^C_EXPN1M S_maxi_continu7)))</f>
        <v>N/A</v>
      </c>
      <c r="K94" s="368" t="str">
        <f>IF(ISERROR($K$80*(C_THETA_HD S_maxi_continu8^C_EXPN1M S_maxi_continu8)),"N/A",($K$80*(C_THETA_HD S_maxi_continu8^C_EXPN1M S_maxi_continu8)))</f>
        <v>N/A</v>
      </c>
      <c r="L94" s="369" t="str">
        <f>IF(ISERROR($L$80*(C_THETA_HD S_maxi_continu9^C_EXPN1M S_maxi_continu9)),"N/A",($L$80*(C_THETA_HD S_maxi_continu9^C_EXPN1M S_maxi_continu9)))</f>
        <v>N/A</v>
      </c>
    </row>
    <row r="95" spans="2:12" ht="13.5" thickBot="1" x14ac:dyDescent="0.25"/>
    <row r="96" spans="2:12" x14ac:dyDescent="0.2">
      <c r="B96" s="614" t="s">
        <v>516</v>
      </c>
      <c r="C96" s="615"/>
      <c r="D96" s="615"/>
      <c r="E96" s="615"/>
      <c r="F96" s="615"/>
      <c r="G96" s="615"/>
      <c r="H96" s="615"/>
      <c r="I96" s="615"/>
      <c r="J96" s="615"/>
      <c r="K96" s="615"/>
      <c r="L96" s="616"/>
    </row>
    <row r="97" spans="2:12" ht="13.5" thickBot="1" x14ac:dyDescent="0.25">
      <c r="B97" s="617"/>
      <c r="C97" s="618"/>
      <c r="D97" s="618"/>
      <c r="E97" s="618"/>
      <c r="F97" s="618"/>
      <c r="G97" s="618"/>
      <c r="H97" s="618"/>
      <c r="I97" s="618"/>
      <c r="J97" s="618"/>
      <c r="K97" s="618"/>
      <c r="L97" s="619"/>
    </row>
    <row r="98" spans="2:12" ht="13.5" thickBot="1" x14ac:dyDescent="0.25">
      <c r="B98" s="375"/>
      <c r="C98" s="376"/>
      <c r="D98" s="338" t="s">
        <v>475</v>
      </c>
      <c r="E98" s="338" t="s">
        <v>476</v>
      </c>
      <c r="F98" s="338" t="s">
        <v>477</v>
      </c>
      <c r="G98" s="338" t="s">
        <v>478</v>
      </c>
      <c r="H98" s="338" t="s">
        <v>479</v>
      </c>
      <c r="I98" s="338" t="s">
        <v>480</v>
      </c>
      <c r="J98" s="338" t="s">
        <v>481</v>
      </c>
      <c r="K98" s="338" t="s">
        <v>482</v>
      </c>
      <c r="L98" s="339" t="s">
        <v>483</v>
      </c>
    </row>
    <row r="99" spans="2:12" ht="24.75" thickBot="1" x14ac:dyDescent="0.25">
      <c r="B99" s="448" t="s">
        <v>465</v>
      </c>
      <c r="C99" s="453" t="s">
        <v>515</v>
      </c>
      <c r="D99" s="446" t="str">
        <f>IF(ISERROR((C_EGTHD_LIM_TO S_take_off1)-$D$86),"N/A",((C_EGTHD_LIM_TO S_take_off1)-$D$86))</f>
        <v>N/A</v>
      </c>
      <c r="E99" s="446" t="str">
        <f>IF(ISERROR((C_EGTHD_LIM_TO S_take_off2)-$E$86),"N/A",((C_EGTHD_LIM_TO S_take_off2)-$E$86))</f>
        <v>N/A</v>
      </c>
      <c r="F99" s="446" t="str">
        <f>IF(ISERROR((C_EGTHD_LIM_TO S_take_off3)-$F$86),"N/A",((C_EGTHD_LIM_TO S_take_off3)-$F$86))</f>
        <v>N/A</v>
      </c>
      <c r="G99" s="446" t="str">
        <f>IF(ISERROR((C_EGTHD_LIM_TO S_take_off4)-$G$86),"N/A",((C_EGTHD_LIM_TO S_take_off4)-$G$86))</f>
        <v>N/A</v>
      </c>
      <c r="H99" s="446" t="str">
        <f>IF(ISERROR((C_EGTHD_LIM_TO S_take_off5)-$H$86),"N/A",((C_EGTHD_LIM_TO S_take_off5)-$H$86))</f>
        <v>N/A</v>
      </c>
      <c r="I99" s="446" t="str">
        <f>IF(ISERROR((C_EGTHD_LIM_TO S_take_off6)-$I$86),"N/A",((C_EGTHD_LIM_TO S_take_off6)-$I$86))</f>
        <v>N/A</v>
      </c>
      <c r="J99" s="446" t="str">
        <f>IF(ISERROR((C_EGTHD_LIM_TO S_take_off7)-$J$86),"N/A",((C_EGTHD_LIM_TO S_take_off7)-$J$86))</f>
        <v>N/A</v>
      </c>
      <c r="K99" s="446" t="str">
        <f>IF(ISERROR((C_EGTHD_LIM_TO S_take_off8)-$K$86),"N/A",((C_EGTHD_LIM_TO S_take_off8)-$K$86))</f>
        <v>N/A</v>
      </c>
      <c r="L99" s="447" t="str">
        <f>IF(ISERROR((C_EGTHD_LIM_TO S_take_off9)-$L$86),"N/A",((C_EGTHD_LIM_TO S_take_off9)-$L$86))</f>
        <v>N/A</v>
      </c>
    </row>
    <row r="100" spans="2:12" ht="24.75" thickBot="1" x14ac:dyDescent="0.25">
      <c r="B100" s="448" t="s">
        <v>466</v>
      </c>
      <c r="C100" s="454" t="s">
        <v>515</v>
      </c>
      <c r="D100" s="449" t="str">
        <f>IF(ISERROR((C_EGTHD_LIM_MC S_maxi_continu1)-$D$88),"N/A",((C_EGTHD_LIM_MC S_maxi_continu1)-$D$88))</f>
        <v>N/A</v>
      </c>
      <c r="E100" s="449" t="str">
        <f>IF(ISERROR((C_EGTHD_LIM_MC S_maxi_continu2)-$E$88),"N/A",((C_EGTHD_LIM_MC S_maxi_continu2)-$E$88))</f>
        <v>N/A</v>
      </c>
      <c r="F100" s="449" t="str">
        <f>IF(ISERROR((C_EGTHD_LIM_MC S_maxi_continu3)-$F$88),"N/A",((C_EGTHD_LIM_MC S_maxi_continu3)-$F$88))</f>
        <v>N/A</v>
      </c>
      <c r="G100" s="449" t="str">
        <f>IF(ISERROR((C_EGTHD_LIM_MC S_maxi_continu4)-$G$88),"N/A",((C_EGTHD_LIM_MC S_maxi_continu4)-$G$88))</f>
        <v>N/A</v>
      </c>
      <c r="H100" s="449" t="str">
        <f>IF(ISERROR((C_EGTHD_LIM_MC S_maxi_continu5)-$H$88),"N/A",((C_EGTHD_LIM_MC S_maxi_continu5)-$H$88))</f>
        <v>N/A</v>
      </c>
      <c r="I100" s="449" t="str">
        <f>IF(ISERROR((C_EGTHD_LIM_MC S_maxi_continu6)-$I$88),"N/A",((C_EGTHD_LIM_MC S_maxi_continu6)-$I$88))</f>
        <v>N/A</v>
      </c>
      <c r="J100" s="449" t="str">
        <f>IF(ISERROR((C_EGTHD_LIM_MC S_maxi_continu7)-$J$88),"N/A",((C_EGTHD_LIM_MC S_maxi_continu7)-$J$88))</f>
        <v>N/A</v>
      </c>
      <c r="K100" s="449" t="str">
        <f>IF(ISERROR((C_EGTHD_LIM_MC S_maxi_continu8)-$K$88),"N/A",((C_EGTHD_LIM_MC S_maxi_continu8)-$K$88))</f>
        <v>N/A</v>
      </c>
      <c r="L100" s="450" t="str">
        <f>IF(ISERROR((C_EGTHD_LIM_MC S_maxi_continu9)-$L$88),"N/A",((C_EGTHD_LIM_MC S_maxi_continu9)-$L$88))</f>
        <v>N/A</v>
      </c>
    </row>
  </sheetData>
  <sheetProtection algorithmName="SHA-512" hashValue="n/nD6AqHPTlobRnJsqAotVUZSQwGzbvkdNv8jBQNvvGcnswJyNuz83lUqAtLUfg668o7p76fiwSvXOdJfWtydA==" saltValue="/2b2BW17SnUCOiiHNbzN6w==" spinCount="100000" sheet="1"/>
  <mergeCells count="68">
    <mergeCell ref="B96:L97"/>
    <mergeCell ref="AN57:AQ57"/>
    <mergeCell ref="B70:L71"/>
    <mergeCell ref="N70:R71"/>
    <mergeCell ref="S70:V70"/>
    <mergeCell ref="W70:Z70"/>
    <mergeCell ref="B73:B76"/>
    <mergeCell ref="B77:B80"/>
    <mergeCell ref="B82:L83"/>
    <mergeCell ref="B85:B86"/>
    <mergeCell ref="B87:B88"/>
    <mergeCell ref="B90:L91"/>
    <mergeCell ref="AD56:AG56"/>
    <mergeCell ref="AI56:AL56"/>
    <mergeCell ref="AN56:AQ56"/>
    <mergeCell ref="E57:H57"/>
    <mergeCell ref="J57:M57"/>
    <mergeCell ref="O57:R57"/>
    <mergeCell ref="T57:W57"/>
    <mergeCell ref="Y57:AB57"/>
    <mergeCell ref="AD57:AG57"/>
    <mergeCell ref="AI57:AL57"/>
    <mergeCell ref="Y56:AB56"/>
    <mergeCell ref="A45:C45"/>
    <mergeCell ref="E56:H56"/>
    <mergeCell ref="J56:M56"/>
    <mergeCell ref="O56:R56"/>
    <mergeCell ref="T56:W56"/>
    <mergeCell ref="AI43:AL43"/>
    <mergeCell ref="AN43:AQ43"/>
    <mergeCell ref="E44:H44"/>
    <mergeCell ref="J44:M44"/>
    <mergeCell ref="O44:R44"/>
    <mergeCell ref="T44:W44"/>
    <mergeCell ref="Y44:AB44"/>
    <mergeCell ref="AD44:AG44"/>
    <mergeCell ref="AI44:AL44"/>
    <mergeCell ref="AN44:AQ44"/>
    <mergeCell ref="E43:H43"/>
    <mergeCell ref="J43:M43"/>
    <mergeCell ref="O43:R43"/>
    <mergeCell ref="T43:W43"/>
    <mergeCell ref="Y43:AB43"/>
    <mergeCell ref="AD43:AG43"/>
    <mergeCell ref="B26:B33"/>
    <mergeCell ref="I26:I33"/>
    <mergeCell ref="P26:P33"/>
    <mergeCell ref="W26:W33"/>
    <mergeCell ref="B34:B41"/>
    <mergeCell ref="I34:I41"/>
    <mergeCell ref="P34:P41"/>
    <mergeCell ref="W34:W41"/>
    <mergeCell ref="B13:B20"/>
    <mergeCell ref="I13:I20"/>
    <mergeCell ref="P13:P20"/>
    <mergeCell ref="W13:W20"/>
    <mergeCell ref="B24:G24"/>
    <mergeCell ref="I24:N24"/>
    <mergeCell ref="P24:U24"/>
    <mergeCell ref="W24:AB24"/>
    <mergeCell ref="B3:G3"/>
    <mergeCell ref="I3:N3"/>
    <mergeCell ref="P3:U3"/>
    <mergeCell ref="W3:AB3"/>
    <mergeCell ref="B5:B12"/>
    <mergeCell ref="I5:I12"/>
    <mergeCell ref="P5:P12"/>
    <mergeCell ref="W5:W12"/>
  </mergeCells>
  <conditionalFormatting sqref="N70 B70 B82 B90 B96">
    <cfRule type="notContainsBlanks" dxfId="84" priority="4" stopIfTrue="1">
      <formula>LEN(TRIM(B70))&gt;0</formula>
    </cfRule>
  </conditionalFormatting>
  <conditionalFormatting sqref="B3 I3 P3 W3 B24 I24 P24 W24">
    <cfRule type="notContainsBlanks" dxfId="83" priority="3" stopIfTrue="1">
      <formula>LEN(TRIM(B3))&gt;0</formula>
    </cfRule>
  </conditionalFormatting>
  <conditionalFormatting sqref="B73 B85 B93 B99 B5 B26 I26 I5 P5 W5 W26 P26 E43:H44 J43:M44 O43:R44 T43:W44 Y43:AB44 AD43:AG44 AI43:AL44 AN43:AQ44 S70:V71">
    <cfRule type="notContainsBlanks" dxfId="82" priority="2" stopIfTrue="1">
      <formula>LEN(TRIM(B5))&gt;0</formula>
    </cfRule>
  </conditionalFormatting>
  <conditionalFormatting sqref="E56:H57 J56:M57 O56:R57 T56:W57 Y56:AB57 AD56:AG57 AI56:AL57 AN56:AQ57 W70:Z71 B13 I13 P13 W13 W34 P34 I34 B34 B77 B87 B94 B100">
    <cfRule type="notContainsBlanks" dxfId="81" priority="1" stopIfTrue="1">
      <formula>LEN(TRIM(B13))&gt;0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">
    <tabColor rgb="FF0070C0"/>
  </sheetPr>
  <dimension ref="A2:AQ100"/>
  <sheetViews>
    <sheetView zoomScale="70" zoomScaleNormal="70" workbookViewId="0">
      <selection activeCell="AM27" sqref="AM27"/>
    </sheetView>
    <sheetView workbookViewId="1"/>
  </sheetViews>
  <sheetFormatPr defaultRowHeight="12.75" x14ac:dyDescent="0.2"/>
  <sheetData>
    <row r="2" spans="2:28" ht="13.5" thickBot="1" x14ac:dyDescent="0.25"/>
    <row r="3" spans="2:28" ht="13.5" thickBot="1" x14ac:dyDescent="0.25">
      <c r="B3" s="602" t="s">
        <v>467</v>
      </c>
      <c r="C3" s="603"/>
      <c r="D3" s="603"/>
      <c r="E3" s="603"/>
      <c r="F3" s="603"/>
      <c r="G3" s="604"/>
      <c r="I3" s="602" t="s">
        <v>468</v>
      </c>
      <c r="J3" s="603"/>
      <c r="K3" s="603"/>
      <c r="L3" s="603"/>
      <c r="M3" s="603"/>
      <c r="N3" s="604"/>
      <c r="P3" s="602" t="s">
        <v>469</v>
      </c>
      <c r="Q3" s="603"/>
      <c r="R3" s="603"/>
      <c r="S3" s="603"/>
      <c r="T3" s="603"/>
      <c r="U3" s="604"/>
      <c r="W3" s="602" t="s">
        <v>470</v>
      </c>
      <c r="X3" s="603"/>
      <c r="Y3" s="603"/>
      <c r="Z3" s="603"/>
      <c r="AA3" s="603"/>
      <c r="AB3" s="604"/>
    </row>
    <row r="4" spans="2:28" ht="13.5" thickBot="1" x14ac:dyDescent="0.25">
      <c r="B4" s="317" t="s">
        <v>460</v>
      </c>
      <c r="C4" s="318" t="s">
        <v>459</v>
      </c>
      <c r="D4" s="318" t="s">
        <v>461</v>
      </c>
      <c r="E4" s="318" t="s">
        <v>462</v>
      </c>
      <c r="F4" s="318" t="s">
        <v>463</v>
      </c>
      <c r="G4" s="319" t="s">
        <v>464</v>
      </c>
      <c r="I4" s="317" t="s">
        <v>460</v>
      </c>
      <c r="J4" s="318" t="s">
        <v>459</v>
      </c>
      <c r="K4" s="318" t="s">
        <v>461</v>
      </c>
      <c r="L4" s="318" t="s">
        <v>462</v>
      </c>
      <c r="M4" s="318" t="s">
        <v>463</v>
      </c>
      <c r="N4" s="319" t="s">
        <v>464</v>
      </c>
      <c r="P4" s="317" t="s">
        <v>460</v>
      </c>
      <c r="Q4" s="318" t="s">
        <v>459</v>
      </c>
      <c r="R4" s="318" t="s">
        <v>461</v>
      </c>
      <c r="S4" s="318" t="s">
        <v>462</v>
      </c>
      <c r="T4" s="318" t="s">
        <v>463</v>
      </c>
      <c r="U4" s="319" t="s">
        <v>464</v>
      </c>
      <c r="W4" s="317" t="s">
        <v>460</v>
      </c>
      <c r="X4" s="318" t="s">
        <v>459</v>
      </c>
      <c r="Y4" s="318" t="s">
        <v>461</v>
      </c>
      <c r="Z4" s="318" t="s">
        <v>462</v>
      </c>
      <c r="AA4" s="318" t="s">
        <v>463</v>
      </c>
      <c r="AB4" s="319" t="s">
        <v>464</v>
      </c>
    </row>
    <row r="5" spans="2:28" x14ac:dyDescent="0.2">
      <c r="B5" s="605" t="s">
        <v>465</v>
      </c>
      <c r="C5" s="325">
        <v>0</v>
      </c>
      <c r="D5" s="320">
        <v>0</v>
      </c>
      <c r="E5" s="320">
        <v>0</v>
      </c>
      <c r="F5" s="320">
        <v>0</v>
      </c>
      <c r="G5" s="321">
        <v>0</v>
      </c>
      <c r="I5" s="605" t="s">
        <v>465</v>
      </c>
      <c r="J5" s="325">
        <v>0</v>
      </c>
      <c r="K5" s="320">
        <v>0</v>
      </c>
      <c r="L5" s="320">
        <v>0</v>
      </c>
      <c r="M5" s="320">
        <v>0</v>
      </c>
      <c r="N5" s="321">
        <v>0</v>
      </c>
      <c r="P5" s="605" t="s">
        <v>465</v>
      </c>
      <c r="Q5" s="325">
        <v>0</v>
      </c>
      <c r="R5" s="320">
        <v>0</v>
      </c>
      <c r="S5" s="320">
        <v>0</v>
      </c>
      <c r="T5" s="320">
        <v>0</v>
      </c>
      <c r="U5" s="321">
        <v>0</v>
      </c>
      <c r="W5" s="605" t="s">
        <v>465</v>
      </c>
      <c r="X5" s="325">
        <v>0</v>
      </c>
      <c r="Y5" s="320">
        <v>0</v>
      </c>
      <c r="Z5" s="320">
        <v>0</v>
      </c>
      <c r="AA5" s="320">
        <v>0</v>
      </c>
      <c r="AB5" s="321">
        <v>0</v>
      </c>
    </row>
    <row r="6" spans="2:28" x14ac:dyDescent="0.2">
      <c r="B6" s="606"/>
      <c r="C6" s="326">
        <v>1</v>
      </c>
      <c r="D6" s="316">
        <v>120</v>
      </c>
      <c r="E6" s="316">
        <v>2</v>
      </c>
      <c r="F6" s="316">
        <v>10</v>
      </c>
      <c r="G6" s="322">
        <v>12</v>
      </c>
      <c r="I6" s="606"/>
      <c r="J6" s="326">
        <v>1</v>
      </c>
      <c r="K6" s="316">
        <v>123</v>
      </c>
      <c r="L6" s="316">
        <v>2</v>
      </c>
      <c r="M6" s="316">
        <v>10</v>
      </c>
      <c r="N6" s="322">
        <v>12</v>
      </c>
      <c r="P6" s="606"/>
      <c r="Q6" s="326">
        <v>1</v>
      </c>
      <c r="R6" s="316">
        <v>125</v>
      </c>
      <c r="S6" s="316">
        <v>2</v>
      </c>
      <c r="T6" s="316">
        <v>11</v>
      </c>
      <c r="U6" s="322">
        <v>12</v>
      </c>
      <c r="W6" s="606"/>
      <c r="X6" s="326">
        <v>1</v>
      </c>
      <c r="Y6" s="316">
        <v>107</v>
      </c>
      <c r="Z6" s="316">
        <v>1</v>
      </c>
      <c r="AA6" s="316">
        <v>9</v>
      </c>
      <c r="AB6" s="322">
        <v>7</v>
      </c>
    </row>
    <row r="7" spans="2:28" x14ac:dyDescent="0.2">
      <c r="B7" s="606"/>
      <c r="C7" s="326">
        <v>2</v>
      </c>
      <c r="D7" s="316">
        <v>238</v>
      </c>
      <c r="E7" s="316">
        <v>4</v>
      </c>
      <c r="F7" s="316">
        <v>17</v>
      </c>
      <c r="G7" s="322">
        <v>23</v>
      </c>
      <c r="I7" s="606"/>
      <c r="J7" s="326">
        <v>2</v>
      </c>
      <c r="K7" s="316">
        <v>259</v>
      </c>
      <c r="L7" s="316">
        <v>4</v>
      </c>
      <c r="M7" s="316">
        <v>20</v>
      </c>
      <c r="N7" s="322">
        <v>24</v>
      </c>
      <c r="P7" s="606"/>
      <c r="Q7" s="326">
        <v>2</v>
      </c>
      <c r="R7" s="316">
        <v>250</v>
      </c>
      <c r="S7" s="316">
        <v>5</v>
      </c>
      <c r="T7" s="316">
        <v>21</v>
      </c>
      <c r="U7" s="322">
        <v>24</v>
      </c>
      <c r="W7" s="606"/>
      <c r="X7" s="326">
        <v>2</v>
      </c>
      <c r="Y7" s="316">
        <v>213</v>
      </c>
      <c r="Z7" s="316">
        <v>3</v>
      </c>
      <c r="AA7" s="316">
        <v>16</v>
      </c>
      <c r="AB7" s="322">
        <v>14</v>
      </c>
    </row>
    <row r="8" spans="2:28" x14ac:dyDescent="0.2">
      <c r="B8" s="606"/>
      <c r="C8" s="326">
        <v>3</v>
      </c>
      <c r="D8" s="316">
        <v>358</v>
      </c>
      <c r="E8" s="316">
        <v>6</v>
      </c>
      <c r="F8" s="316">
        <v>26</v>
      </c>
      <c r="G8" s="322">
        <v>35</v>
      </c>
      <c r="I8" s="606"/>
      <c r="J8" s="326">
        <v>3</v>
      </c>
      <c r="K8" s="316">
        <v>368</v>
      </c>
      <c r="L8" s="316">
        <v>7</v>
      </c>
      <c r="M8" s="316">
        <v>30</v>
      </c>
      <c r="N8" s="322">
        <v>36</v>
      </c>
      <c r="P8" s="606"/>
      <c r="Q8" s="326">
        <v>3</v>
      </c>
      <c r="R8" s="316">
        <v>375</v>
      </c>
      <c r="S8" s="316">
        <v>7</v>
      </c>
      <c r="T8" s="316">
        <v>31</v>
      </c>
      <c r="U8" s="322">
        <v>36</v>
      </c>
      <c r="W8" s="606"/>
      <c r="X8" s="326">
        <v>3</v>
      </c>
      <c r="Y8" s="316">
        <v>320</v>
      </c>
      <c r="Z8" s="316">
        <v>5</v>
      </c>
      <c r="AA8" s="316">
        <v>24</v>
      </c>
      <c r="AB8" s="322">
        <v>21</v>
      </c>
    </row>
    <row r="9" spans="2:28" x14ac:dyDescent="0.2">
      <c r="B9" s="606"/>
      <c r="C9" s="326">
        <v>4</v>
      </c>
      <c r="D9" s="316">
        <v>490</v>
      </c>
      <c r="E9" s="316">
        <v>8</v>
      </c>
      <c r="F9" s="316">
        <v>35</v>
      </c>
      <c r="G9" s="322">
        <v>59</v>
      </c>
      <c r="I9" s="606"/>
      <c r="J9" s="326">
        <v>4</v>
      </c>
      <c r="K9" s="316">
        <v>493</v>
      </c>
      <c r="L9" s="316">
        <v>9</v>
      </c>
      <c r="M9" s="316">
        <v>40</v>
      </c>
      <c r="N9" s="322">
        <v>48</v>
      </c>
      <c r="P9" s="606"/>
      <c r="Q9" s="326">
        <v>4</v>
      </c>
      <c r="R9" s="316">
        <v>499</v>
      </c>
      <c r="S9" s="316">
        <v>10</v>
      </c>
      <c r="T9" s="316">
        <v>41</v>
      </c>
      <c r="U9" s="322">
        <v>48</v>
      </c>
      <c r="W9" s="606"/>
      <c r="X9" s="326">
        <v>4</v>
      </c>
      <c r="Y9" s="316">
        <v>427</v>
      </c>
      <c r="Z9" s="316">
        <v>6</v>
      </c>
      <c r="AA9" s="316">
        <v>32</v>
      </c>
      <c r="AB9" s="322">
        <v>28</v>
      </c>
    </row>
    <row r="10" spans="2:28" x14ac:dyDescent="0.2">
      <c r="B10" s="606"/>
      <c r="C10" s="326">
        <v>5</v>
      </c>
      <c r="D10" s="316">
        <v>625</v>
      </c>
      <c r="E10" s="316">
        <v>10</v>
      </c>
      <c r="F10" s="316">
        <v>45</v>
      </c>
      <c r="G10" s="322">
        <v>57</v>
      </c>
      <c r="I10" s="606"/>
      <c r="J10" s="326">
        <v>5</v>
      </c>
      <c r="K10" s="316">
        <v>617</v>
      </c>
      <c r="L10" s="316">
        <v>11</v>
      </c>
      <c r="M10" s="316">
        <v>50</v>
      </c>
      <c r="N10" s="322">
        <v>60</v>
      </c>
      <c r="P10" s="606"/>
      <c r="Q10" s="326">
        <v>5</v>
      </c>
      <c r="R10" s="316">
        <v>617</v>
      </c>
      <c r="S10" s="316">
        <v>12</v>
      </c>
      <c r="T10" s="316">
        <v>52</v>
      </c>
      <c r="U10" s="322">
        <v>60</v>
      </c>
      <c r="W10" s="606"/>
      <c r="X10" s="326">
        <v>5</v>
      </c>
      <c r="Y10" s="316">
        <v>537</v>
      </c>
      <c r="Z10" s="316">
        <v>8</v>
      </c>
      <c r="AA10" s="316">
        <v>40</v>
      </c>
      <c r="AB10" s="322">
        <v>35</v>
      </c>
    </row>
    <row r="11" spans="2:28" x14ac:dyDescent="0.2">
      <c r="B11" s="606"/>
      <c r="C11" s="326">
        <v>6</v>
      </c>
      <c r="D11" s="316">
        <v>828</v>
      </c>
      <c r="E11" s="316">
        <v>14</v>
      </c>
      <c r="F11" s="316">
        <v>60</v>
      </c>
      <c r="G11" s="322">
        <v>75</v>
      </c>
      <c r="I11" s="606"/>
      <c r="J11" s="326">
        <v>6</v>
      </c>
      <c r="K11" s="316">
        <v>803</v>
      </c>
      <c r="L11" s="316">
        <v>14</v>
      </c>
      <c r="M11" s="316">
        <v>66</v>
      </c>
      <c r="N11" s="322">
        <v>78</v>
      </c>
      <c r="P11" s="606"/>
      <c r="Q11" s="326">
        <v>6</v>
      </c>
      <c r="R11" s="316">
        <v>788</v>
      </c>
      <c r="S11" s="316">
        <v>16</v>
      </c>
      <c r="T11" s="316">
        <v>68</v>
      </c>
      <c r="U11" s="322">
        <v>78</v>
      </c>
      <c r="W11" s="606"/>
      <c r="X11" s="326">
        <v>6</v>
      </c>
      <c r="Y11" s="316">
        <v>709</v>
      </c>
      <c r="Z11" s="316">
        <v>10</v>
      </c>
      <c r="AA11" s="316">
        <v>53</v>
      </c>
      <c r="AB11" s="322">
        <v>59</v>
      </c>
    </row>
    <row r="12" spans="2:28" ht="13.5" thickBot="1" x14ac:dyDescent="0.25">
      <c r="B12" s="607"/>
      <c r="C12" s="327">
        <v>7</v>
      </c>
      <c r="D12" s="323">
        <v>1110</v>
      </c>
      <c r="E12" s="323">
        <v>18</v>
      </c>
      <c r="F12" s="323">
        <v>80</v>
      </c>
      <c r="G12" s="324">
        <v>98</v>
      </c>
      <c r="I12" s="607"/>
      <c r="J12" s="327">
        <v>7</v>
      </c>
      <c r="K12" s="323">
        <v>1052</v>
      </c>
      <c r="L12" s="323">
        <v>18</v>
      </c>
      <c r="M12" s="323">
        <v>85</v>
      </c>
      <c r="N12" s="324">
        <v>102</v>
      </c>
      <c r="P12" s="607"/>
      <c r="Q12" s="327">
        <v>7</v>
      </c>
      <c r="R12" s="323">
        <v>1016</v>
      </c>
      <c r="S12" s="323">
        <v>20</v>
      </c>
      <c r="T12" s="323">
        <v>91</v>
      </c>
      <c r="U12" s="324">
        <v>102</v>
      </c>
      <c r="W12" s="607"/>
      <c r="X12" s="327">
        <v>7</v>
      </c>
      <c r="Y12" s="323">
        <v>913</v>
      </c>
      <c r="Z12" s="323">
        <v>13</v>
      </c>
      <c r="AA12" s="323">
        <v>69</v>
      </c>
      <c r="AB12" s="324">
        <v>59</v>
      </c>
    </row>
    <row r="13" spans="2:28" x14ac:dyDescent="0.2">
      <c r="B13" s="605" t="s">
        <v>466</v>
      </c>
      <c r="C13" s="325">
        <v>0</v>
      </c>
      <c r="D13" s="320">
        <v>0</v>
      </c>
      <c r="E13" s="320">
        <v>0</v>
      </c>
      <c r="F13" s="320">
        <v>0</v>
      </c>
      <c r="G13" s="321">
        <v>0</v>
      </c>
      <c r="I13" s="605" t="s">
        <v>466</v>
      </c>
      <c r="J13" s="325">
        <v>0</v>
      </c>
      <c r="K13" s="320">
        <v>0</v>
      </c>
      <c r="L13" s="320">
        <v>0</v>
      </c>
      <c r="M13" s="320">
        <v>0</v>
      </c>
      <c r="N13" s="321">
        <v>0</v>
      </c>
      <c r="P13" s="605" t="s">
        <v>466</v>
      </c>
      <c r="Q13" s="325">
        <v>0</v>
      </c>
      <c r="R13" s="320">
        <v>0</v>
      </c>
      <c r="S13" s="320">
        <v>0</v>
      </c>
      <c r="T13" s="320">
        <v>0</v>
      </c>
      <c r="U13" s="321">
        <v>0</v>
      </c>
      <c r="W13" s="605" t="s">
        <v>466</v>
      </c>
      <c r="X13" s="325">
        <v>0</v>
      </c>
      <c r="Y13" s="320">
        <v>0</v>
      </c>
      <c r="Z13" s="320">
        <v>0</v>
      </c>
      <c r="AA13" s="320">
        <v>0</v>
      </c>
      <c r="AB13" s="321">
        <v>0</v>
      </c>
    </row>
    <row r="14" spans="2:28" x14ac:dyDescent="0.2">
      <c r="B14" s="606"/>
      <c r="C14" s="326">
        <v>1</v>
      </c>
      <c r="D14" s="316">
        <v>116</v>
      </c>
      <c r="E14" s="316">
        <v>2</v>
      </c>
      <c r="F14" s="316">
        <v>8</v>
      </c>
      <c r="G14" s="322">
        <v>10</v>
      </c>
      <c r="I14" s="606"/>
      <c r="J14" s="326">
        <v>1</v>
      </c>
      <c r="K14" s="316">
        <v>116</v>
      </c>
      <c r="L14" s="316">
        <v>2</v>
      </c>
      <c r="M14" s="316">
        <v>8</v>
      </c>
      <c r="N14" s="322">
        <v>10</v>
      </c>
      <c r="P14" s="606"/>
      <c r="Q14" s="326">
        <v>1</v>
      </c>
      <c r="R14" s="316">
        <v>118</v>
      </c>
      <c r="S14" s="316">
        <v>2</v>
      </c>
      <c r="T14" s="316">
        <v>8</v>
      </c>
      <c r="U14" s="322">
        <v>10</v>
      </c>
      <c r="W14" s="606"/>
      <c r="X14" s="326">
        <v>1</v>
      </c>
      <c r="Y14" s="316">
        <v>96</v>
      </c>
      <c r="Z14" s="316">
        <v>1</v>
      </c>
      <c r="AA14" s="316">
        <v>8</v>
      </c>
      <c r="AB14" s="322">
        <v>6</v>
      </c>
    </row>
    <row r="15" spans="2:28" x14ac:dyDescent="0.2">
      <c r="B15" s="606"/>
      <c r="C15" s="326">
        <v>2</v>
      </c>
      <c r="D15" s="316">
        <v>242</v>
      </c>
      <c r="E15" s="316">
        <v>4</v>
      </c>
      <c r="F15" s="316">
        <v>17</v>
      </c>
      <c r="G15" s="322">
        <v>20</v>
      </c>
      <c r="I15" s="606"/>
      <c r="J15" s="326">
        <v>2</v>
      </c>
      <c r="K15" s="316">
        <v>242</v>
      </c>
      <c r="L15" s="316">
        <v>4</v>
      </c>
      <c r="M15" s="316">
        <v>17</v>
      </c>
      <c r="N15" s="322">
        <v>20</v>
      </c>
      <c r="P15" s="606"/>
      <c r="Q15" s="326">
        <v>2</v>
      </c>
      <c r="R15" s="316">
        <v>244</v>
      </c>
      <c r="S15" s="316">
        <v>4</v>
      </c>
      <c r="T15" s="316">
        <v>18</v>
      </c>
      <c r="U15" s="322">
        <v>20</v>
      </c>
      <c r="W15" s="606"/>
      <c r="X15" s="326">
        <v>2</v>
      </c>
      <c r="Y15" s="316">
        <v>190</v>
      </c>
      <c r="Z15" s="316">
        <v>2</v>
      </c>
      <c r="AA15" s="316">
        <v>16</v>
      </c>
      <c r="AB15" s="322">
        <v>12</v>
      </c>
    </row>
    <row r="16" spans="2:28" x14ac:dyDescent="0.2">
      <c r="B16" s="606"/>
      <c r="C16" s="326">
        <v>3</v>
      </c>
      <c r="D16" s="316">
        <v>369</v>
      </c>
      <c r="E16" s="316">
        <v>6</v>
      </c>
      <c r="F16" s="316">
        <v>27</v>
      </c>
      <c r="G16" s="322">
        <v>30</v>
      </c>
      <c r="I16" s="606"/>
      <c r="J16" s="326">
        <v>3</v>
      </c>
      <c r="K16" s="316">
        <v>369</v>
      </c>
      <c r="L16" s="316">
        <v>6</v>
      </c>
      <c r="M16" s="316">
        <v>27</v>
      </c>
      <c r="N16" s="322">
        <v>30</v>
      </c>
      <c r="P16" s="606"/>
      <c r="Q16" s="326">
        <v>3</v>
      </c>
      <c r="R16" s="316">
        <v>373</v>
      </c>
      <c r="S16" s="316">
        <v>6</v>
      </c>
      <c r="T16" s="316">
        <v>27</v>
      </c>
      <c r="U16" s="322">
        <v>30</v>
      </c>
      <c r="W16" s="606"/>
      <c r="X16" s="326">
        <v>3</v>
      </c>
      <c r="Y16" s="316">
        <v>285</v>
      </c>
      <c r="Z16" s="316">
        <v>3</v>
      </c>
      <c r="AA16" s="316">
        <v>24</v>
      </c>
      <c r="AB16" s="322">
        <v>18</v>
      </c>
    </row>
    <row r="17" spans="2:36" x14ac:dyDescent="0.2">
      <c r="B17" s="606"/>
      <c r="C17" s="326">
        <v>4</v>
      </c>
      <c r="D17" s="316">
        <v>497</v>
      </c>
      <c r="E17" s="316">
        <v>8</v>
      </c>
      <c r="F17" s="316">
        <v>36</v>
      </c>
      <c r="G17" s="322">
        <v>40</v>
      </c>
      <c r="I17" s="606"/>
      <c r="J17" s="326">
        <v>4</v>
      </c>
      <c r="K17" s="316">
        <v>497</v>
      </c>
      <c r="L17" s="316">
        <v>8</v>
      </c>
      <c r="M17" s="316">
        <v>36</v>
      </c>
      <c r="N17" s="322">
        <v>40</v>
      </c>
      <c r="P17" s="606"/>
      <c r="Q17" s="326">
        <v>4</v>
      </c>
      <c r="R17" s="316">
        <v>502</v>
      </c>
      <c r="S17" s="316">
        <v>8</v>
      </c>
      <c r="T17" s="316">
        <v>37</v>
      </c>
      <c r="U17" s="322">
        <v>40</v>
      </c>
      <c r="W17" s="606"/>
      <c r="X17" s="326">
        <v>4</v>
      </c>
      <c r="Y17" s="316">
        <v>396</v>
      </c>
      <c r="Z17" s="316">
        <v>5</v>
      </c>
      <c r="AA17" s="316">
        <v>33</v>
      </c>
      <c r="AB17" s="322">
        <v>25</v>
      </c>
      <c r="AF17" s="343"/>
      <c r="AG17" s="343"/>
      <c r="AH17" s="344"/>
      <c r="AI17" s="343"/>
      <c r="AJ17" s="343"/>
    </row>
    <row r="18" spans="2:36" x14ac:dyDescent="0.2">
      <c r="B18" s="606"/>
      <c r="C18" s="326">
        <v>5</v>
      </c>
      <c r="D18" s="316">
        <v>625</v>
      </c>
      <c r="E18" s="316">
        <v>10</v>
      </c>
      <c r="F18" s="316">
        <v>59</v>
      </c>
      <c r="G18" s="322">
        <v>50</v>
      </c>
      <c r="I18" s="606"/>
      <c r="J18" s="326">
        <v>5</v>
      </c>
      <c r="K18" s="316">
        <v>625</v>
      </c>
      <c r="L18" s="316">
        <v>10</v>
      </c>
      <c r="M18" s="316">
        <v>59</v>
      </c>
      <c r="N18" s="322">
        <v>50</v>
      </c>
      <c r="P18" s="606"/>
      <c r="Q18" s="326">
        <v>5</v>
      </c>
      <c r="R18" s="316">
        <v>631</v>
      </c>
      <c r="S18" s="316">
        <v>10</v>
      </c>
      <c r="T18" s="316">
        <v>59</v>
      </c>
      <c r="U18" s="322">
        <v>50</v>
      </c>
      <c r="W18" s="606"/>
      <c r="X18" s="326">
        <v>5</v>
      </c>
      <c r="Y18" s="316">
        <v>490</v>
      </c>
      <c r="Z18" s="316">
        <v>6</v>
      </c>
      <c r="AA18" s="316">
        <v>41</v>
      </c>
      <c r="AB18" s="322">
        <v>31</v>
      </c>
      <c r="AF18" s="343"/>
      <c r="AG18" s="343"/>
      <c r="AH18" s="344"/>
      <c r="AI18" s="343"/>
      <c r="AJ18" s="343"/>
    </row>
    <row r="19" spans="2:36" x14ac:dyDescent="0.2">
      <c r="B19" s="606"/>
      <c r="C19" s="326">
        <v>6</v>
      </c>
      <c r="D19" s="316">
        <v>819</v>
      </c>
      <c r="E19" s="316">
        <v>13</v>
      </c>
      <c r="F19" s="316">
        <v>60</v>
      </c>
      <c r="G19" s="322">
        <v>64</v>
      </c>
      <c r="I19" s="606"/>
      <c r="J19" s="326">
        <v>6</v>
      </c>
      <c r="K19" s="316">
        <v>819</v>
      </c>
      <c r="L19" s="316">
        <v>13</v>
      </c>
      <c r="M19" s="316">
        <v>60</v>
      </c>
      <c r="N19" s="322">
        <v>64</v>
      </c>
      <c r="P19" s="606"/>
      <c r="Q19" s="326">
        <v>6</v>
      </c>
      <c r="R19" s="316">
        <v>814</v>
      </c>
      <c r="S19" s="316">
        <v>13</v>
      </c>
      <c r="T19" s="316">
        <v>60</v>
      </c>
      <c r="U19" s="322">
        <v>64</v>
      </c>
      <c r="W19" s="606"/>
      <c r="X19" s="326">
        <v>6</v>
      </c>
      <c r="Y19" s="316">
        <v>632</v>
      </c>
      <c r="Z19" s="316">
        <v>7</v>
      </c>
      <c r="AA19" s="316">
        <v>53</v>
      </c>
      <c r="AB19" s="322">
        <v>40</v>
      </c>
      <c r="AF19" s="343"/>
      <c r="AG19" s="343"/>
      <c r="AH19" s="344"/>
      <c r="AI19" s="343"/>
      <c r="AJ19" s="343"/>
    </row>
    <row r="20" spans="2:36" ht="13.5" thickBot="1" x14ac:dyDescent="0.25">
      <c r="B20" s="607"/>
      <c r="C20" s="327">
        <v>7</v>
      </c>
      <c r="D20" s="323">
        <v>1094</v>
      </c>
      <c r="E20" s="323">
        <v>17</v>
      </c>
      <c r="F20" s="323">
        <v>81</v>
      </c>
      <c r="G20" s="324">
        <v>84</v>
      </c>
      <c r="I20" s="607"/>
      <c r="J20" s="327">
        <v>7</v>
      </c>
      <c r="K20" s="323">
        <v>1094</v>
      </c>
      <c r="L20" s="323">
        <v>17</v>
      </c>
      <c r="M20" s="323">
        <v>81</v>
      </c>
      <c r="N20" s="324">
        <v>84</v>
      </c>
      <c r="P20" s="607"/>
      <c r="Q20" s="327">
        <v>7</v>
      </c>
      <c r="R20" s="323">
        <v>1091</v>
      </c>
      <c r="S20" s="323">
        <v>17</v>
      </c>
      <c r="T20" s="323">
        <v>80</v>
      </c>
      <c r="U20" s="324">
        <v>84</v>
      </c>
      <c r="W20" s="607"/>
      <c r="X20" s="327">
        <v>7</v>
      </c>
      <c r="Y20" s="323">
        <v>822</v>
      </c>
      <c r="Z20" s="323">
        <v>9</v>
      </c>
      <c r="AA20" s="323">
        <v>69</v>
      </c>
      <c r="AB20" s="324">
        <v>52</v>
      </c>
      <c r="AF20" s="343"/>
      <c r="AG20" s="343"/>
      <c r="AH20" s="344"/>
      <c r="AI20" s="343"/>
      <c r="AJ20" s="343"/>
    </row>
    <row r="21" spans="2:36" x14ac:dyDescent="0.2">
      <c r="AF21" s="343"/>
      <c r="AG21" s="343"/>
      <c r="AH21" s="344"/>
      <c r="AI21" s="343"/>
      <c r="AJ21" s="343"/>
    </row>
    <row r="22" spans="2:36" x14ac:dyDescent="0.2">
      <c r="AF22" s="343"/>
      <c r="AG22" s="343"/>
      <c r="AH22" s="344"/>
      <c r="AI22" s="343"/>
      <c r="AJ22" s="343"/>
    </row>
    <row r="23" spans="2:36" ht="13.5" thickBot="1" x14ac:dyDescent="0.25">
      <c r="AF23" s="343"/>
      <c r="AG23" s="343"/>
      <c r="AH23" s="344"/>
      <c r="AI23" s="343"/>
      <c r="AJ23" s="343"/>
    </row>
    <row r="24" spans="2:36" ht="13.5" thickBot="1" x14ac:dyDescent="0.25">
      <c r="B24" s="602" t="s">
        <v>472</v>
      </c>
      <c r="C24" s="603"/>
      <c r="D24" s="603"/>
      <c r="E24" s="603"/>
      <c r="F24" s="603"/>
      <c r="G24" s="604"/>
      <c r="I24" s="602" t="s">
        <v>473</v>
      </c>
      <c r="J24" s="603"/>
      <c r="K24" s="603"/>
      <c r="L24" s="603"/>
      <c r="M24" s="603"/>
      <c r="N24" s="604"/>
      <c r="P24" s="602" t="s">
        <v>471</v>
      </c>
      <c r="Q24" s="603"/>
      <c r="R24" s="603"/>
      <c r="S24" s="603"/>
      <c r="T24" s="603"/>
      <c r="U24" s="604"/>
      <c r="W24" s="602" t="s">
        <v>474</v>
      </c>
      <c r="X24" s="603"/>
      <c r="Y24" s="603"/>
      <c r="Z24" s="603"/>
      <c r="AA24" s="603"/>
      <c r="AB24" s="604"/>
      <c r="AF24" s="343"/>
      <c r="AG24" s="343"/>
      <c r="AH24" s="344"/>
      <c r="AI24" s="343"/>
      <c r="AJ24" s="343"/>
    </row>
    <row r="25" spans="2:36" ht="13.5" thickBot="1" x14ac:dyDescent="0.25">
      <c r="B25" s="317" t="s">
        <v>460</v>
      </c>
      <c r="C25" s="318" t="s">
        <v>459</v>
      </c>
      <c r="D25" s="318" t="s">
        <v>461</v>
      </c>
      <c r="E25" s="318" t="s">
        <v>462</v>
      </c>
      <c r="F25" s="318" t="s">
        <v>463</v>
      </c>
      <c r="G25" s="319" t="s">
        <v>464</v>
      </c>
      <c r="I25" s="317" t="s">
        <v>460</v>
      </c>
      <c r="J25" s="318" t="s">
        <v>459</v>
      </c>
      <c r="K25" s="318" t="s">
        <v>461</v>
      </c>
      <c r="L25" s="318" t="s">
        <v>462</v>
      </c>
      <c r="M25" s="318" t="s">
        <v>463</v>
      </c>
      <c r="N25" s="319" t="s">
        <v>464</v>
      </c>
      <c r="P25" s="317" t="s">
        <v>460</v>
      </c>
      <c r="Q25" s="318" t="s">
        <v>459</v>
      </c>
      <c r="R25" s="318" t="s">
        <v>461</v>
      </c>
      <c r="S25" s="318" t="s">
        <v>462</v>
      </c>
      <c r="T25" s="318" t="s">
        <v>463</v>
      </c>
      <c r="U25" s="319" t="s">
        <v>464</v>
      </c>
      <c r="W25" s="317" t="s">
        <v>460</v>
      </c>
      <c r="X25" s="318" t="s">
        <v>459</v>
      </c>
      <c r="Y25" s="318" t="s">
        <v>461</v>
      </c>
      <c r="Z25" s="318" t="s">
        <v>462</v>
      </c>
      <c r="AA25" s="318" t="s">
        <v>463</v>
      </c>
      <c r="AB25" s="319" t="s">
        <v>464</v>
      </c>
      <c r="AF25" s="343"/>
      <c r="AG25" s="343"/>
      <c r="AH25" s="344"/>
      <c r="AI25" s="343"/>
      <c r="AJ25" s="343"/>
    </row>
    <row r="26" spans="2:36" x14ac:dyDescent="0.2">
      <c r="B26" s="605" t="s">
        <v>465</v>
      </c>
      <c r="C26" s="325">
        <v>0</v>
      </c>
      <c r="D26" s="320">
        <v>0</v>
      </c>
      <c r="E26" s="320">
        <v>0</v>
      </c>
      <c r="F26" s="320">
        <v>0</v>
      </c>
      <c r="G26" s="321">
        <v>0</v>
      </c>
      <c r="I26" s="605" t="s">
        <v>465</v>
      </c>
      <c r="J26" s="325">
        <v>0</v>
      </c>
      <c r="K26" s="320">
        <v>0</v>
      </c>
      <c r="L26" s="320">
        <v>0</v>
      </c>
      <c r="M26" s="320">
        <v>0</v>
      </c>
      <c r="N26" s="321">
        <v>0</v>
      </c>
      <c r="P26" s="605" t="s">
        <v>465</v>
      </c>
      <c r="Q26" s="325">
        <v>0</v>
      </c>
      <c r="R26" s="320">
        <v>0</v>
      </c>
      <c r="S26" s="320">
        <v>0</v>
      </c>
      <c r="T26" s="320">
        <v>0</v>
      </c>
      <c r="U26" s="321">
        <v>0</v>
      </c>
      <c r="W26" s="605" t="s">
        <v>465</v>
      </c>
      <c r="X26" s="325">
        <v>0</v>
      </c>
      <c r="Y26" s="320">
        <v>0</v>
      </c>
      <c r="Z26" s="320">
        <v>0</v>
      </c>
      <c r="AA26" s="320">
        <v>0</v>
      </c>
      <c r="AB26" s="321">
        <v>0</v>
      </c>
    </row>
    <row r="27" spans="2:36" x14ac:dyDescent="0.2">
      <c r="B27" s="606"/>
      <c r="C27" s="326">
        <v>1</v>
      </c>
      <c r="D27" s="316">
        <v>85</v>
      </c>
      <c r="E27" s="316">
        <v>2</v>
      </c>
      <c r="F27" s="316">
        <v>7</v>
      </c>
      <c r="G27" s="322">
        <v>6</v>
      </c>
      <c r="I27" s="606"/>
      <c r="J27" s="326">
        <v>1</v>
      </c>
      <c r="K27" s="316">
        <v>92</v>
      </c>
      <c r="L27" s="316">
        <v>1</v>
      </c>
      <c r="M27" s="316">
        <v>7</v>
      </c>
      <c r="N27" s="322">
        <v>6</v>
      </c>
      <c r="P27" s="606"/>
      <c r="Q27" s="326">
        <v>1</v>
      </c>
      <c r="R27" s="316">
        <v>85</v>
      </c>
      <c r="S27" s="316">
        <v>2</v>
      </c>
      <c r="T27" s="316">
        <v>7</v>
      </c>
      <c r="U27" s="322">
        <v>6</v>
      </c>
      <c r="W27" s="606"/>
      <c r="X27" s="326">
        <v>1</v>
      </c>
      <c r="Y27" s="316">
        <v>92</v>
      </c>
      <c r="Z27" s="316">
        <v>1</v>
      </c>
      <c r="AA27" s="316">
        <v>7</v>
      </c>
      <c r="AB27" s="322">
        <v>6</v>
      </c>
    </row>
    <row r="28" spans="2:36" x14ac:dyDescent="0.2">
      <c r="B28" s="606"/>
      <c r="C28" s="326">
        <v>2</v>
      </c>
      <c r="D28" s="316">
        <v>170</v>
      </c>
      <c r="E28" s="316">
        <v>2</v>
      </c>
      <c r="F28" s="316">
        <v>14</v>
      </c>
      <c r="G28" s="322">
        <v>12</v>
      </c>
      <c r="I28" s="606"/>
      <c r="J28" s="326">
        <v>2</v>
      </c>
      <c r="K28" s="316">
        <v>185</v>
      </c>
      <c r="L28" s="316">
        <v>3</v>
      </c>
      <c r="M28" s="316">
        <v>15</v>
      </c>
      <c r="N28" s="322">
        <v>12</v>
      </c>
      <c r="P28" s="606"/>
      <c r="Q28" s="326">
        <v>2</v>
      </c>
      <c r="R28" s="316">
        <v>170</v>
      </c>
      <c r="S28" s="316">
        <v>2</v>
      </c>
      <c r="T28" s="316">
        <v>14</v>
      </c>
      <c r="U28" s="322">
        <v>12</v>
      </c>
      <c r="W28" s="606"/>
      <c r="X28" s="326">
        <v>2</v>
      </c>
      <c r="Y28" s="316">
        <v>185</v>
      </c>
      <c r="Z28" s="316">
        <v>3</v>
      </c>
      <c r="AA28" s="316">
        <v>15</v>
      </c>
      <c r="AB28" s="322">
        <v>12</v>
      </c>
    </row>
    <row r="29" spans="2:36" x14ac:dyDescent="0.2">
      <c r="B29" s="606"/>
      <c r="C29" s="326">
        <v>3</v>
      </c>
      <c r="D29" s="316">
        <v>255</v>
      </c>
      <c r="E29" s="316">
        <v>4</v>
      </c>
      <c r="F29" s="316">
        <v>21</v>
      </c>
      <c r="G29" s="322">
        <v>18</v>
      </c>
      <c r="I29" s="606"/>
      <c r="J29" s="326">
        <v>3</v>
      </c>
      <c r="K29" s="316">
        <v>277</v>
      </c>
      <c r="L29" s="316">
        <v>4</v>
      </c>
      <c r="M29" s="316">
        <v>23</v>
      </c>
      <c r="N29" s="322">
        <v>18</v>
      </c>
      <c r="P29" s="606"/>
      <c r="Q29" s="326">
        <v>3</v>
      </c>
      <c r="R29" s="316">
        <v>255</v>
      </c>
      <c r="S29" s="316">
        <v>4</v>
      </c>
      <c r="T29" s="316">
        <v>21</v>
      </c>
      <c r="U29" s="322">
        <v>18</v>
      </c>
      <c r="W29" s="606"/>
      <c r="X29" s="326">
        <v>3</v>
      </c>
      <c r="Y29" s="316">
        <v>277</v>
      </c>
      <c r="Z29" s="316">
        <v>4</v>
      </c>
      <c r="AA29" s="316">
        <v>23</v>
      </c>
      <c r="AB29" s="322">
        <v>18</v>
      </c>
    </row>
    <row r="30" spans="2:36" x14ac:dyDescent="0.2">
      <c r="B30" s="606"/>
      <c r="C30" s="326">
        <v>4</v>
      </c>
      <c r="D30" s="316">
        <v>354</v>
      </c>
      <c r="E30" s="316">
        <v>5</v>
      </c>
      <c r="F30" s="316">
        <v>29</v>
      </c>
      <c r="G30" s="322">
        <v>25</v>
      </c>
      <c r="I30" s="606"/>
      <c r="J30" s="326">
        <v>4</v>
      </c>
      <c r="K30" s="316">
        <v>385</v>
      </c>
      <c r="L30" s="316">
        <v>6</v>
      </c>
      <c r="M30" s="316">
        <v>32</v>
      </c>
      <c r="N30" s="322">
        <v>25</v>
      </c>
      <c r="P30" s="606"/>
      <c r="Q30" s="326">
        <v>4</v>
      </c>
      <c r="R30" s="316">
        <v>354</v>
      </c>
      <c r="S30" s="316">
        <v>5</v>
      </c>
      <c r="T30" s="316">
        <v>29</v>
      </c>
      <c r="U30" s="322">
        <v>25</v>
      </c>
      <c r="W30" s="606"/>
      <c r="X30" s="326">
        <v>4</v>
      </c>
      <c r="Y30" s="316">
        <v>385</v>
      </c>
      <c r="Z30" s="316">
        <v>6</v>
      </c>
      <c r="AA30" s="316">
        <v>32</v>
      </c>
      <c r="AB30" s="322">
        <v>25</v>
      </c>
    </row>
    <row r="31" spans="2:36" x14ac:dyDescent="0.2">
      <c r="B31" s="606"/>
      <c r="C31" s="326">
        <v>5</v>
      </c>
      <c r="D31" s="316">
        <v>439</v>
      </c>
      <c r="E31" s="316">
        <v>6</v>
      </c>
      <c r="F31" s="316">
        <v>36</v>
      </c>
      <c r="G31" s="322">
        <v>31</v>
      </c>
      <c r="I31" s="606"/>
      <c r="J31" s="326">
        <v>5</v>
      </c>
      <c r="K31" s="316">
        <v>477</v>
      </c>
      <c r="L31" s="316">
        <v>7</v>
      </c>
      <c r="M31" s="316">
        <v>40</v>
      </c>
      <c r="N31" s="322">
        <v>31</v>
      </c>
      <c r="P31" s="606"/>
      <c r="Q31" s="326">
        <v>5</v>
      </c>
      <c r="R31" s="316">
        <v>439</v>
      </c>
      <c r="S31" s="316">
        <v>6</v>
      </c>
      <c r="T31" s="316">
        <v>36</v>
      </c>
      <c r="U31" s="322">
        <v>31</v>
      </c>
      <c r="W31" s="606"/>
      <c r="X31" s="326">
        <v>5</v>
      </c>
      <c r="Y31" s="316">
        <v>477</v>
      </c>
      <c r="Z31" s="316">
        <v>7</v>
      </c>
      <c r="AA31" s="316">
        <v>40</v>
      </c>
      <c r="AB31" s="322">
        <v>31</v>
      </c>
    </row>
    <row r="32" spans="2:36" x14ac:dyDescent="0.2">
      <c r="B32" s="606"/>
      <c r="C32" s="326">
        <v>6</v>
      </c>
      <c r="D32" s="316">
        <v>566</v>
      </c>
      <c r="E32" s="316">
        <v>8</v>
      </c>
      <c r="F32" s="316">
        <v>47</v>
      </c>
      <c r="G32" s="322">
        <v>40</v>
      </c>
      <c r="I32" s="606"/>
      <c r="J32" s="326">
        <v>6</v>
      </c>
      <c r="K32" s="316">
        <v>616</v>
      </c>
      <c r="L32" s="316">
        <v>9</v>
      </c>
      <c r="M32" s="316">
        <v>52</v>
      </c>
      <c r="N32" s="322">
        <v>40</v>
      </c>
      <c r="P32" s="606"/>
      <c r="Q32" s="326">
        <v>6</v>
      </c>
      <c r="R32" s="316">
        <v>566</v>
      </c>
      <c r="S32" s="316">
        <v>8</v>
      </c>
      <c r="T32" s="316">
        <v>47</v>
      </c>
      <c r="U32" s="322">
        <v>40</v>
      </c>
      <c r="W32" s="606"/>
      <c r="X32" s="326">
        <v>6</v>
      </c>
      <c r="Y32" s="316">
        <v>616</v>
      </c>
      <c r="Z32" s="316">
        <v>9</v>
      </c>
      <c r="AA32" s="316">
        <v>52</v>
      </c>
      <c r="AB32" s="322">
        <v>40</v>
      </c>
    </row>
    <row r="33" spans="1:43" ht="13.5" thickBot="1" x14ac:dyDescent="0.25">
      <c r="B33" s="607"/>
      <c r="C33" s="327">
        <v>7</v>
      </c>
      <c r="D33" s="323">
        <v>725</v>
      </c>
      <c r="E33" s="323">
        <v>10</v>
      </c>
      <c r="F33" s="323">
        <v>62</v>
      </c>
      <c r="G33" s="324">
        <v>52</v>
      </c>
      <c r="I33" s="607"/>
      <c r="J33" s="327">
        <v>7</v>
      </c>
      <c r="K33" s="323">
        <v>799</v>
      </c>
      <c r="L33" s="323">
        <v>12</v>
      </c>
      <c r="M33" s="323">
        <v>67</v>
      </c>
      <c r="N33" s="324">
        <v>52</v>
      </c>
      <c r="P33" s="607"/>
      <c r="Q33" s="327">
        <v>7</v>
      </c>
      <c r="R33" s="323">
        <v>725</v>
      </c>
      <c r="S33" s="323">
        <v>10</v>
      </c>
      <c r="T33" s="323">
        <v>62</v>
      </c>
      <c r="U33" s="324">
        <v>52</v>
      </c>
      <c r="W33" s="607"/>
      <c r="X33" s="327">
        <v>7</v>
      </c>
      <c r="Y33" s="323">
        <v>799</v>
      </c>
      <c r="Z33" s="323">
        <v>12</v>
      </c>
      <c r="AA33" s="323">
        <v>67</v>
      </c>
      <c r="AB33" s="324">
        <v>52</v>
      </c>
    </row>
    <row r="34" spans="1:43" x14ac:dyDescent="0.2">
      <c r="B34" s="605" t="s">
        <v>466</v>
      </c>
      <c r="C34" s="325">
        <v>0</v>
      </c>
      <c r="D34" s="320">
        <v>0</v>
      </c>
      <c r="E34" s="320">
        <v>0</v>
      </c>
      <c r="F34" s="320">
        <v>0</v>
      </c>
      <c r="G34" s="321">
        <v>0</v>
      </c>
      <c r="I34" s="605" t="s">
        <v>466</v>
      </c>
      <c r="J34" s="325">
        <v>0</v>
      </c>
      <c r="K34" s="320">
        <v>0</v>
      </c>
      <c r="L34" s="320">
        <v>0</v>
      </c>
      <c r="M34" s="320">
        <v>0</v>
      </c>
      <c r="N34" s="321">
        <v>0</v>
      </c>
      <c r="P34" s="605" t="s">
        <v>466</v>
      </c>
      <c r="Q34" s="325">
        <v>0</v>
      </c>
      <c r="R34" s="320">
        <v>0</v>
      </c>
      <c r="S34" s="320">
        <v>0</v>
      </c>
      <c r="T34" s="320">
        <v>0</v>
      </c>
      <c r="U34" s="321">
        <v>0</v>
      </c>
      <c r="W34" s="605" t="s">
        <v>466</v>
      </c>
      <c r="X34" s="325">
        <v>0</v>
      </c>
      <c r="Y34" s="320">
        <v>0</v>
      </c>
      <c r="Z34" s="320">
        <v>0</v>
      </c>
      <c r="AA34" s="320">
        <v>0</v>
      </c>
      <c r="AB34" s="321">
        <v>0</v>
      </c>
    </row>
    <row r="35" spans="1:43" x14ac:dyDescent="0.2">
      <c r="B35" s="606"/>
      <c r="C35" s="326">
        <v>1</v>
      </c>
      <c r="D35" s="316">
        <v>76</v>
      </c>
      <c r="E35" s="316">
        <v>1</v>
      </c>
      <c r="F35" s="316">
        <v>6</v>
      </c>
      <c r="G35" s="322">
        <v>6</v>
      </c>
      <c r="I35" s="606"/>
      <c r="J35" s="326">
        <v>1</v>
      </c>
      <c r="K35" s="316">
        <v>76</v>
      </c>
      <c r="L35" s="316">
        <v>1</v>
      </c>
      <c r="M35" s="316">
        <v>6</v>
      </c>
      <c r="N35" s="322">
        <v>6</v>
      </c>
      <c r="P35" s="606"/>
      <c r="Q35" s="326">
        <v>1</v>
      </c>
      <c r="R35" s="316">
        <v>60</v>
      </c>
      <c r="S35" s="316">
        <v>1</v>
      </c>
      <c r="T35" s="316">
        <v>6</v>
      </c>
      <c r="U35" s="322">
        <v>5</v>
      </c>
      <c r="W35" s="606"/>
      <c r="X35" s="326">
        <v>1</v>
      </c>
      <c r="Y35" s="316">
        <v>76</v>
      </c>
      <c r="Z35" s="316">
        <v>1</v>
      </c>
      <c r="AA35" s="316">
        <v>6</v>
      </c>
      <c r="AB35" s="322">
        <v>6</v>
      </c>
    </row>
    <row r="36" spans="1:43" x14ac:dyDescent="0.2">
      <c r="B36" s="606"/>
      <c r="C36" s="326">
        <v>2</v>
      </c>
      <c r="D36" s="316">
        <v>153</v>
      </c>
      <c r="E36" s="316">
        <v>2</v>
      </c>
      <c r="F36" s="316">
        <v>13</v>
      </c>
      <c r="G36" s="322">
        <v>12</v>
      </c>
      <c r="I36" s="606"/>
      <c r="J36" s="326">
        <v>2</v>
      </c>
      <c r="K36" s="316">
        <v>153</v>
      </c>
      <c r="L36" s="316">
        <v>2</v>
      </c>
      <c r="M36" s="316">
        <v>13</v>
      </c>
      <c r="N36" s="322">
        <v>12</v>
      </c>
      <c r="P36" s="606"/>
      <c r="Q36" s="326">
        <v>2</v>
      </c>
      <c r="R36" s="316">
        <v>120</v>
      </c>
      <c r="S36" s="316">
        <v>2</v>
      </c>
      <c r="T36" s="316">
        <v>11</v>
      </c>
      <c r="U36" s="322">
        <v>10</v>
      </c>
      <c r="W36" s="606"/>
      <c r="X36" s="326">
        <v>2</v>
      </c>
      <c r="Y36" s="316">
        <v>153</v>
      </c>
      <c r="Z36" s="316">
        <v>2</v>
      </c>
      <c r="AA36" s="316">
        <v>13</v>
      </c>
      <c r="AB36" s="322">
        <v>12</v>
      </c>
    </row>
    <row r="37" spans="1:43" x14ac:dyDescent="0.2">
      <c r="B37" s="606"/>
      <c r="C37" s="326">
        <v>3</v>
      </c>
      <c r="D37" s="316">
        <v>229</v>
      </c>
      <c r="E37" s="316">
        <v>3</v>
      </c>
      <c r="F37" s="316">
        <v>19</v>
      </c>
      <c r="G37" s="322">
        <v>19</v>
      </c>
      <c r="I37" s="606"/>
      <c r="J37" s="326">
        <v>3</v>
      </c>
      <c r="K37" s="316">
        <v>229</v>
      </c>
      <c r="L37" s="316">
        <v>3</v>
      </c>
      <c r="M37" s="316">
        <v>19</v>
      </c>
      <c r="N37" s="322">
        <v>18</v>
      </c>
      <c r="P37" s="606"/>
      <c r="Q37" s="326">
        <v>3</v>
      </c>
      <c r="R37" s="316">
        <v>167</v>
      </c>
      <c r="S37" s="316">
        <v>3</v>
      </c>
      <c r="T37" s="316">
        <v>15</v>
      </c>
      <c r="U37" s="322">
        <v>14</v>
      </c>
      <c r="W37" s="606"/>
      <c r="X37" s="326">
        <v>3</v>
      </c>
      <c r="Y37" s="316">
        <v>229</v>
      </c>
      <c r="Z37" s="316">
        <v>3</v>
      </c>
      <c r="AA37" s="316">
        <v>19</v>
      </c>
      <c r="AB37" s="322">
        <v>18</v>
      </c>
    </row>
    <row r="38" spans="1:43" x14ac:dyDescent="0.2">
      <c r="B38" s="606"/>
      <c r="C38" s="326">
        <v>4</v>
      </c>
      <c r="D38" s="316">
        <v>318</v>
      </c>
      <c r="E38" s="316">
        <v>4</v>
      </c>
      <c r="F38" s="316">
        <v>27</v>
      </c>
      <c r="G38" s="322">
        <v>25</v>
      </c>
      <c r="I38" s="606"/>
      <c r="J38" s="326">
        <v>4</v>
      </c>
      <c r="K38" s="316">
        <v>318</v>
      </c>
      <c r="L38" s="316">
        <v>4</v>
      </c>
      <c r="M38" s="316">
        <v>27</v>
      </c>
      <c r="N38" s="322">
        <v>25</v>
      </c>
      <c r="P38" s="606"/>
      <c r="Q38" s="326">
        <v>4</v>
      </c>
      <c r="R38" s="316">
        <v>239</v>
      </c>
      <c r="S38" s="316">
        <v>4</v>
      </c>
      <c r="T38" s="316">
        <v>22</v>
      </c>
      <c r="U38" s="322">
        <v>20</v>
      </c>
      <c r="W38" s="606"/>
      <c r="X38" s="326">
        <v>4</v>
      </c>
      <c r="Y38" s="316">
        <v>318</v>
      </c>
      <c r="Z38" s="316">
        <v>4</v>
      </c>
      <c r="AA38" s="316">
        <v>27</v>
      </c>
      <c r="AB38" s="322">
        <v>25</v>
      </c>
    </row>
    <row r="39" spans="1:43" x14ac:dyDescent="0.2">
      <c r="B39" s="606"/>
      <c r="C39" s="326">
        <v>5</v>
      </c>
      <c r="D39" s="316">
        <v>395</v>
      </c>
      <c r="E39" s="316">
        <v>5</v>
      </c>
      <c r="F39" s="316">
        <v>33</v>
      </c>
      <c r="G39" s="322">
        <v>31</v>
      </c>
      <c r="I39" s="606"/>
      <c r="J39" s="326">
        <v>5</v>
      </c>
      <c r="K39" s="316">
        <v>395</v>
      </c>
      <c r="L39" s="316">
        <v>5</v>
      </c>
      <c r="M39" s="316">
        <v>33</v>
      </c>
      <c r="N39" s="322">
        <v>31</v>
      </c>
      <c r="P39" s="606"/>
      <c r="Q39" s="326">
        <v>5</v>
      </c>
      <c r="R39" s="316">
        <v>299</v>
      </c>
      <c r="S39" s="316">
        <v>5</v>
      </c>
      <c r="T39" s="316">
        <v>28</v>
      </c>
      <c r="U39" s="322">
        <v>25</v>
      </c>
      <c r="W39" s="606"/>
      <c r="X39" s="326">
        <v>5</v>
      </c>
      <c r="Y39" s="316">
        <v>395</v>
      </c>
      <c r="Z39" s="316">
        <v>5</v>
      </c>
      <c r="AA39" s="316">
        <v>33</v>
      </c>
      <c r="AB39" s="322">
        <v>31</v>
      </c>
    </row>
    <row r="40" spans="1:43" x14ac:dyDescent="0.2">
      <c r="B40" s="606"/>
      <c r="C40" s="326">
        <v>6</v>
      </c>
      <c r="D40" s="316">
        <v>510</v>
      </c>
      <c r="E40" s="316">
        <v>7</v>
      </c>
      <c r="F40" s="316">
        <v>43</v>
      </c>
      <c r="G40" s="322">
        <v>40</v>
      </c>
      <c r="I40" s="606"/>
      <c r="J40" s="326">
        <v>6</v>
      </c>
      <c r="K40" s="316">
        <v>510</v>
      </c>
      <c r="L40" s="316">
        <v>7</v>
      </c>
      <c r="M40" s="316">
        <v>43</v>
      </c>
      <c r="N40" s="322">
        <v>40</v>
      </c>
      <c r="P40" s="606"/>
      <c r="Q40" s="326">
        <v>6</v>
      </c>
      <c r="R40" s="316">
        <v>383</v>
      </c>
      <c r="S40" s="316">
        <v>7</v>
      </c>
      <c r="T40" s="316">
        <v>35</v>
      </c>
      <c r="U40" s="322">
        <v>32</v>
      </c>
      <c r="W40" s="606"/>
      <c r="X40" s="326">
        <v>6</v>
      </c>
      <c r="Y40" s="316">
        <v>510</v>
      </c>
      <c r="Z40" s="316">
        <v>7</v>
      </c>
      <c r="AA40" s="316">
        <v>43</v>
      </c>
      <c r="AB40" s="322">
        <v>40</v>
      </c>
    </row>
    <row r="41" spans="1:43" ht="13.5" thickBot="1" x14ac:dyDescent="0.25">
      <c r="B41" s="607"/>
      <c r="C41" s="327">
        <v>7</v>
      </c>
      <c r="D41" s="323">
        <v>663</v>
      </c>
      <c r="E41" s="323">
        <v>8</v>
      </c>
      <c r="F41" s="323">
        <v>56</v>
      </c>
      <c r="G41" s="324">
        <v>52</v>
      </c>
      <c r="I41" s="607"/>
      <c r="J41" s="327">
        <v>7</v>
      </c>
      <c r="K41" s="323">
        <v>663</v>
      </c>
      <c r="L41" s="323">
        <v>8</v>
      </c>
      <c r="M41" s="323">
        <v>56</v>
      </c>
      <c r="N41" s="324">
        <v>52</v>
      </c>
      <c r="P41" s="607"/>
      <c r="Q41" s="327">
        <v>7</v>
      </c>
      <c r="R41" s="323">
        <v>502</v>
      </c>
      <c r="S41" s="323">
        <v>8</v>
      </c>
      <c r="T41" s="323">
        <v>59</v>
      </c>
      <c r="U41" s="324">
        <v>42</v>
      </c>
      <c r="W41" s="607"/>
      <c r="X41" s="327">
        <v>7</v>
      </c>
      <c r="Y41" s="323">
        <v>663</v>
      </c>
      <c r="Z41" s="323">
        <v>8</v>
      </c>
      <c r="AA41" s="323">
        <v>56</v>
      </c>
      <c r="AB41" s="324">
        <v>52</v>
      </c>
    </row>
    <row r="42" spans="1:43" ht="13.5" thickBot="1" x14ac:dyDescent="0.25">
      <c r="F42" s="22"/>
    </row>
    <row r="43" spans="1:43" ht="13.5" thickBot="1" x14ac:dyDescent="0.25">
      <c r="E43" s="608" t="s">
        <v>465</v>
      </c>
      <c r="F43" s="609"/>
      <c r="G43" s="609"/>
      <c r="H43" s="610"/>
      <c r="I43" s="333"/>
      <c r="J43" s="608" t="s">
        <v>465</v>
      </c>
      <c r="K43" s="609"/>
      <c r="L43" s="609"/>
      <c r="M43" s="610"/>
      <c r="N43" s="333"/>
      <c r="O43" s="608" t="s">
        <v>465</v>
      </c>
      <c r="P43" s="609"/>
      <c r="Q43" s="609"/>
      <c r="R43" s="610"/>
      <c r="S43" s="333"/>
      <c r="T43" s="608" t="s">
        <v>465</v>
      </c>
      <c r="U43" s="609"/>
      <c r="V43" s="609"/>
      <c r="W43" s="610"/>
      <c r="X43" s="333"/>
      <c r="Y43" s="608" t="s">
        <v>465</v>
      </c>
      <c r="Z43" s="609"/>
      <c r="AA43" s="609"/>
      <c r="AB43" s="610"/>
      <c r="AC43" s="333"/>
      <c r="AD43" s="608" t="s">
        <v>465</v>
      </c>
      <c r="AE43" s="609"/>
      <c r="AF43" s="609"/>
      <c r="AG43" s="610"/>
      <c r="AH43" s="333"/>
      <c r="AI43" s="608" t="s">
        <v>465</v>
      </c>
      <c r="AJ43" s="609"/>
      <c r="AK43" s="609"/>
      <c r="AL43" s="610"/>
      <c r="AM43" s="333"/>
      <c r="AN43" s="608" t="s">
        <v>465</v>
      </c>
      <c r="AO43" s="609"/>
      <c r="AP43" s="609"/>
      <c r="AQ43" s="610"/>
    </row>
    <row r="44" spans="1:43" ht="13.5" thickBot="1" x14ac:dyDescent="0.25">
      <c r="E44" s="611" t="s">
        <v>467</v>
      </c>
      <c r="F44" s="612"/>
      <c r="G44" s="612"/>
      <c r="H44" s="613"/>
      <c r="J44" s="611" t="s">
        <v>468</v>
      </c>
      <c r="K44" s="612"/>
      <c r="L44" s="612"/>
      <c r="M44" s="613"/>
      <c r="O44" s="611" t="s">
        <v>469</v>
      </c>
      <c r="P44" s="612"/>
      <c r="Q44" s="612"/>
      <c r="R44" s="613"/>
      <c r="T44" s="611" t="s">
        <v>470</v>
      </c>
      <c r="U44" s="612"/>
      <c r="V44" s="612"/>
      <c r="W44" s="613"/>
      <c r="Y44" s="611" t="s">
        <v>472</v>
      </c>
      <c r="Z44" s="612"/>
      <c r="AA44" s="612"/>
      <c r="AB44" s="613"/>
      <c r="AD44" s="611" t="s">
        <v>473</v>
      </c>
      <c r="AE44" s="612"/>
      <c r="AF44" s="612"/>
      <c r="AG44" s="613"/>
      <c r="AI44" s="611" t="s">
        <v>471</v>
      </c>
      <c r="AJ44" s="612"/>
      <c r="AK44" s="612"/>
      <c r="AL44" s="613"/>
      <c r="AN44" s="611" t="s">
        <v>474</v>
      </c>
      <c r="AO44" s="612"/>
      <c r="AP44" s="612"/>
      <c r="AQ44" s="613"/>
    </row>
    <row r="45" spans="1:43" ht="13.5" thickBot="1" x14ac:dyDescent="0.25">
      <c r="A45" s="608" t="s">
        <v>484</v>
      </c>
      <c r="B45" s="609"/>
      <c r="C45" s="610"/>
      <c r="D45" s="334"/>
      <c r="E45" s="317" t="s">
        <v>461</v>
      </c>
      <c r="F45" s="318" t="s">
        <v>462</v>
      </c>
      <c r="G45" s="318" t="s">
        <v>463</v>
      </c>
      <c r="H45" s="319" t="s">
        <v>464</v>
      </c>
      <c r="J45" s="317" t="s">
        <v>461</v>
      </c>
      <c r="K45" s="318" t="s">
        <v>462</v>
      </c>
      <c r="L45" s="318" t="s">
        <v>463</v>
      </c>
      <c r="M45" s="319" t="s">
        <v>464</v>
      </c>
      <c r="O45" s="317" t="s">
        <v>461</v>
      </c>
      <c r="P45" s="318" t="s">
        <v>462</v>
      </c>
      <c r="Q45" s="318" t="s">
        <v>463</v>
      </c>
      <c r="R45" s="319" t="s">
        <v>464</v>
      </c>
      <c r="T45" s="317" t="s">
        <v>461</v>
      </c>
      <c r="U45" s="318" t="s">
        <v>462</v>
      </c>
      <c r="V45" s="318" t="s">
        <v>463</v>
      </c>
      <c r="W45" s="319" t="s">
        <v>464</v>
      </c>
      <c r="Y45" s="317" t="s">
        <v>461</v>
      </c>
      <c r="Z45" s="318" t="s">
        <v>462</v>
      </c>
      <c r="AA45" s="318" t="s">
        <v>463</v>
      </c>
      <c r="AB45" s="319" t="s">
        <v>464</v>
      </c>
      <c r="AD45" s="317" t="s">
        <v>461</v>
      </c>
      <c r="AE45" s="318" t="s">
        <v>462</v>
      </c>
      <c r="AF45" s="318" t="s">
        <v>463</v>
      </c>
      <c r="AG45" s="319" t="s">
        <v>464</v>
      </c>
      <c r="AI45" s="317" t="s">
        <v>461</v>
      </c>
      <c r="AJ45" s="318" t="s">
        <v>462</v>
      </c>
      <c r="AK45" s="318" t="s">
        <v>463</v>
      </c>
      <c r="AL45" s="319" t="s">
        <v>464</v>
      </c>
      <c r="AN45" s="317" t="s">
        <v>461</v>
      </c>
      <c r="AO45" s="318" t="s">
        <v>462</v>
      </c>
      <c r="AP45" s="318" t="s">
        <v>463</v>
      </c>
      <c r="AQ45" s="319" t="s">
        <v>464</v>
      </c>
    </row>
    <row r="46" spans="1:43" x14ac:dyDescent="0.2">
      <c r="A46" s="354" t="str">
        <f>IF($O$72="N/A",$N$72,$O$72)</f>
        <v>N/A</v>
      </c>
      <c r="B46" s="335" t="s">
        <v>475</v>
      </c>
      <c r="C46" s="321">
        <f>IF(ISERROR(C_N1_MOD_LEV_CA S_take_off1),0,(C_N1_MOD_LEV_CA S_take_off1))</f>
        <v>0</v>
      </c>
      <c r="E46" s="330">
        <f>VLOOKUP(C46,$C$5:$G$12,2,FALSE)</f>
        <v>0</v>
      </c>
      <c r="F46" s="320">
        <f>VLOOKUP(C46,$C$5:$G$12,3,FALSE)</f>
        <v>0</v>
      </c>
      <c r="G46" s="320">
        <f>VLOOKUP(C46,$C$5:$G$12,4,FALSE)</f>
        <v>0</v>
      </c>
      <c r="H46" s="321">
        <f>VLOOKUP(C46,$C$5:$G$12,5,FALSE)</f>
        <v>0</v>
      </c>
      <c r="J46" s="330">
        <f t="shared" ref="J46:J54" si="0">VLOOKUP(C46,$J$5:$N$12,2,FALSE)</f>
        <v>0</v>
      </c>
      <c r="K46" s="320">
        <f t="shared" ref="K46:K54" si="1">VLOOKUP(C46,$J$5:$N$12,3,FALSE)</f>
        <v>0</v>
      </c>
      <c r="L46" s="320">
        <f t="shared" ref="L46:L54" si="2">VLOOKUP(C46,$J$5:$N$12,4,FALSE)</f>
        <v>0</v>
      </c>
      <c r="M46" s="321">
        <f t="shared" ref="M46:M54" si="3">VLOOKUP(C46,$J$5:$N$12,5,FALSE)</f>
        <v>0</v>
      </c>
      <c r="O46" s="330">
        <f t="shared" ref="O46:O54" si="4">VLOOKUP(C46,$Q$5:$U$12,2,FALSE)</f>
        <v>0</v>
      </c>
      <c r="P46" s="320">
        <f>VLOOKUP(C46,$Q$5:$U$12,3,FALSE)</f>
        <v>0</v>
      </c>
      <c r="Q46" s="320">
        <f t="shared" ref="Q46:Q54" si="5">VLOOKUP(C46,$Q$5:$U$12,4,FALSE)</f>
        <v>0</v>
      </c>
      <c r="R46" s="321">
        <f t="shared" ref="R46:R54" si="6">VLOOKUP(C46,$Q$5:$U$12,5,FALSE)</f>
        <v>0</v>
      </c>
      <c r="T46" s="330">
        <f>VLOOKUP($C$46,$X$5:$AB$12,2,FALSE)</f>
        <v>0</v>
      </c>
      <c r="U46" s="320">
        <f>VLOOKUP($C$46,$X$5:$AB$12,3,FALSE)</f>
        <v>0</v>
      </c>
      <c r="V46" s="320">
        <f>VLOOKUP($C$46,$X$5:$AB$12,4,FALSE)</f>
        <v>0</v>
      </c>
      <c r="W46" s="321">
        <f>VLOOKUP($C$46,$X$5:$AB$12,5,FALSE)</f>
        <v>0</v>
      </c>
      <c r="Y46" s="330">
        <f>VLOOKUP($C$46,$C$26:$G$33,2,FALSE)</f>
        <v>0</v>
      </c>
      <c r="Z46" s="320">
        <f>VLOOKUP($C$46,$C$26:$G$33,3,FALSE)</f>
        <v>0</v>
      </c>
      <c r="AA46" s="320">
        <f>VLOOKUP($C$46,$C$26:$G$33,4,FALSE)</f>
        <v>0</v>
      </c>
      <c r="AB46" s="321">
        <f>VLOOKUP($C$46,$C$26:$G$33,5,FALSE)</f>
        <v>0</v>
      </c>
      <c r="AD46" s="330">
        <f>VLOOKUP($C$46,$J$26:$N$33,2,FALSE)</f>
        <v>0</v>
      </c>
      <c r="AE46" s="320">
        <f>VLOOKUP($C$46,$J$26:$N$33,3,FALSE)</f>
        <v>0</v>
      </c>
      <c r="AF46" s="320">
        <f>VLOOKUP($C$46,$J$26:$N$33,4,FALSE)</f>
        <v>0</v>
      </c>
      <c r="AG46" s="321">
        <f>VLOOKUP($C$46,$J$26:$N$33,5,FALSE)</f>
        <v>0</v>
      </c>
      <c r="AI46" s="330">
        <f>VLOOKUP($C$46,$Q$26:$U$33,2,FALSE)</f>
        <v>0</v>
      </c>
      <c r="AJ46" s="320">
        <f>VLOOKUP($C$46,$Q$26:$U$33,3,FALSE)</f>
        <v>0</v>
      </c>
      <c r="AK46" s="320">
        <f>VLOOKUP($C$46,$Q$26:$U$33,4,FALSE)</f>
        <v>0</v>
      </c>
      <c r="AL46" s="321">
        <f>VLOOKUP($C$46,$Q$26:$U$33,5,FALSE)</f>
        <v>0</v>
      </c>
      <c r="AN46" s="330">
        <f>VLOOKUP($C$46,$X$26:$AB$33,2,FALSE)</f>
        <v>0</v>
      </c>
      <c r="AO46" s="320">
        <f>VLOOKUP($C$46,$X$26:$AB$33,3,FALSE)</f>
        <v>0</v>
      </c>
      <c r="AP46" s="320">
        <f>VLOOKUP($C$46,$X$26:$AB$33,4,FALSE)</f>
        <v>0</v>
      </c>
      <c r="AQ46" s="321">
        <f>VLOOKUP($C$46,$X$26:$AB$33,5,FALSE)</f>
        <v>0</v>
      </c>
    </row>
    <row r="47" spans="1:43" x14ac:dyDescent="0.2">
      <c r="A47" s="355" t="str">
        <f>IF($O$73="N/A",$N$73,$O$73)</f>
        <v>N/A</v>
      </c>
      <c r="B47" s="336" t="s">
        <v>476</v>
      </c>
      <c r="C47" s="322">
        <f>IF(ISERROR(C_N1_MOD_LEV_CA S_take_off2),0,(C_N1_MOD_LEV_CA S_take_off2))</f>
        <v>0</v>
      </c>
      <c r="E47" s="331">
        <f t="shared" ref="E47:E54" si="7">VLOOKUP(C47,$C$5:$G$12,2,FALSE)</f>
        <v>0</v>
      </c>
      <c r="F47" s="316">
        <f t="shared" ref="F47:F54" si="8">VLOOKUP(C47,$C$5:$G$12,3,FALSE)</f>
        <v>0</v>
      </c>
      <c r="G47" s="316">
        <f t="shared" ref="G47:G54" si="9">VLOOKUP(C47,$C$5:$G$12,4,FALSE)</f>
        <v>0</v>
      </c>
      <c r="H47" s="322">
        <f t="shared" ref="H47:H54" si="10">VLOOKUP(C47,$C$5:$G$12,5,FALSE)</f>
        <v>0</v>
      </c>
      <c r="J47" s="331">
        <f t="shared" si="0"/>
        <v>0</v>
      </c>
      <c r="K47" s="316">
        <f t="shared" si="1"/>
        <v>0</v>
      </c>
      <c r="L47" s="316">
        <f t="shared" si="2"/>
        <v>0</v>
      </c>
      <c r="M47" s="322">
        <f t="shared" si="3"/>
        <v>0</v>
      </c>
      <c r="O47" s="331">
        <f t="shared" si="4"/>
        <v>0</v>
      </c>
      <c r="P47" s="316">
        <f t="shared" ref="P47:P54" si="11">VLOOKUP(C47,$Q$5:$U$12,3,FALSE)</f>
        <v>0</v>
      </c>
      <c r="Q47" s="316">
        <f t="shared" si="5"/>
        <v>0</v>
      </c>
      <c r="R47" s="322">
        <f t="shared" si="6"/>
        <v>0</v>
      </c>
      <c r="T47" s="331">
        <f>VLOOKUP($C$47,$X$5:$AB$12,2,FALSE)</f>
        <v>0</v>
      </c>
      <c r="U47" s="316">
        <f>VLOOKUP($C$47,$X$5:$AB$12,3,FALSE)</f>
        <v>0</v>
      </c>
      <c r="V47" s="316">
        <f>VLOOKUP($C$47,$X$5:$AB$12,4,FALSE)</f>
        <v>0</v>
      </c>
      <c r="W47" s="322">
        <f>VLOOKUP($C$47,$X$5:$AB$12,5,FALSE)</f>
        <v>0</v>
      </c>
      <c r="Y47" s="331">
        <f>VLOOKUP($C$47,$C$26:$G$33,2,FALSE)</f>
        <v>0</v>
      </c>
      <c r="Z47" s="316">
        <f>VLOOKUP($C$47,$C$26:$G$33,3,FALSE)</f>
        <v>0</v>
      </c>
      <c r="AA47" s="316">
        <f>VLOOKUP($C$47,$C$26:$G$33,4,FALSE)</f>
        <v>0</v>
      </c>
      <c r="AB47" s="322">
        <f>VLOOKUP($C$47,$C$26:$G$33,5,FALSE)</f>
        <v>0</v>
      </c>
      <c r="AD47" s="331">
        <f>VLOOKUP($C$47,$J$26:$N$33,2,FALSE)</f>
        <v>0</v>
      </c>
      <c r="AE47" s="316">
        <f>VLOOKUP($C$47,$J$26:$N$33,3,FALSE)</f>
        <v>0</v>
      </c>
      <c r="AF47" s="316">
        <f>VLOOKUP($C$47,$J$26:$N$33,4,FALSE)</f>
        <v>0</v>
      </c>
      <c r="AG47" s="322">
        <f>VLOOKUP($C$47,$J$26:$N$33,5,FALSE)</f>
        <v>0</v>
      </c>
      <c r="AI47" s="331">
        <f>VLOOKUP($C$47,$Q$26:$U$33,2,FALSE)</f>
        <v>0</v>
      </c>
      <c r="AJ47" s="316">
        <f>VLOOKUP($C$47,$Q$26:$U$33,3,FALSE)</f>
        <v>0</v>
      </c>
      <c r="AK47" s="316">
        <f>VLOOKUP($C$47,$Q$26:$U$33,4,FALSE)</f>
        <v>0</v>
      </c>
      <c r="AL47" s="322">
        <f>VLOOKUP($C$47,$Q$26:$U$33,5,FALSE)</f>
        <v>0</v>
      </c>
      <c r="AN47" s="331">
        <f>VLOOKUP($C$47,$X$26:$AB$33,2,FALSE)</f>
        <v>0</v>
      </c>
      <c r="AO47" s="316">
        <f>VLOOKUP($C$47,$X$26:$AB$33,3,FALSE)</f>
        <v>0</v>
      </c>
      <c r="AP47" s="316">
        <f>VLOOKUP($C$47,$X$26:$AB$33,4,FALSE)</f>
        <v>0</v>
      </c>
      <c r="AQ47" s="322">
        <f>VLOOKUP($C$47,$X$26:$AB$33,5,FALSE)</f>
        <v>0</v>
      </c>
    </row>
    <row r="48" spans="1:43" x14ac:dyDescent="0.2">
      <c r="A48" s="355" t="str">
        <f>IF($O$74="N/A",$N$74,$O$74)</f>
        <v>N/A</v>
      </c>
      <c r="B48" s="336" t="s">
        <v>477</v>
      </c>
      <c r="C48" s="322">
        <f>IF(ISERROR(C_N1_MOD_LEV_CA S_take_off3),0,(C_N1_MOD_LEV_CA S_take_off3))</f>
        <v>0</v>
      </c>
      <c r="E48" s="331">
        <f t="shared" si="7"/>
        <v>0</v>
      </c>
      <c r="F48" s="316">
        <f t="shared" si="8"/>
        <v>0</v>
      </c>
      <c r="G48" s="316">
        <f t="shared" si="9"/>
        <v>0</v>
      </c>
      <c r="H48" s="322">
        <f t="shared" si="10"/>
        <v>0</v>
      </c>
      <c r="J48" s="331">
        <f t="shared" si="0"/>
        <v>0</v>
      </c>
      <c r="K48" s="316">
        <f t="shared" si="1"/>
        <v>0</v>
      </c>
      <c r="L48" s="316">
        <f t="shared" si="2"/>
        <v>0</v>
      </c>
      <c r="M48" s="322">
        <f t="shared" si="3"/>
        <v>0</v>
      </c>
      <c r="O48" s="331">
        <f t="shared" si="4"/>
        <v>0</v>
      </c>
      <c r="P48" s="316">
        <f t="shared" si="11"/>
        <v>0</v>
      </c>
      <c r="Q48" s="316">
        <f t="shared" si="5"/>
        <v>0</v>
      </c>
      <c r="R48" s="322">
        <f t="shared" si="6"/>
        <v>0</v>
      </c>
      <c r="T48" s="331">
        <f>VLOOKUP($C$48,$X$5:$AB$12,2,FALSE)</f>
        <v>0</v>
      </c>
      <c r="U48" s="316">
        <f>VLOOKUP($C$48,$X$5:$AB$12,3,FALSE)</f>
        <v>0</v>
      </c>
      <c r="V48" s="316">
        <f>VLOOKUP($C$48,$X$5:$AB$12,4,FALSE)</f>
        <v>0</v>
      </c>
      <c r="W48" s="322">
        <f>VLOOKUP($C$48,$X$5:$AB$12,5,FALSE)</f>
        <v>0</v>
      </c>
      <c r="Y48" s="331">
        <f>VLOOKUP($C$48,$C$26:$G$33,2,FALSE)</f>
        <v>0</v>
      </c>
      <c r="Z48" s="316">
        <f>VLOOKUP($C$48,$C$26:$G$33,3,FALSE)</f>
        <v>0</v>
      </c>
      <c r="AA48" s="316">
        <f>VLOOKUP($C$48,$C$26:$G$33,4,FALSE)</f>
        <v>0</v>
      </c>
      <c r="AB48" s="322">
        <f>VLOOKUP($C$48,$C$26:$G$33,5,FALSE)</f>
        <v>0</v>
      </c>
      <c r="AD48" s="331">
        <f>VLOOKUP($C$48,$J$26:$N$33,2,FALSE)</f>
        <v>0</v>
      </c>
      <c r="AE48" s="316">
        <f>VLOOKUP($C$48,$J$26:$N$33,3,FALSE)</f>
        <v>0</v>
      </c>
      <c r="AF48" s="316">
        <f>VLOOKUP($C$48,$J$26:$N$33,4,FALSE)</f>
        <v>0</v>
      </c>
      <c r="AG48" s="322">
        <f>VLOOKUP($C$48,$J$26:$N$33,5,FALSE)</f>
        <v>0</v>
      </c>
      <c r="AI48" s="331">
        <f>VLOOKUP($C$48,$Q$26:$U$33,2,FALSE)</f>
        <v>0</v>
      </c>
      <c r="AJ48" s="316">
        <f>VLOOKUP($C$48,$Q$26:$U$33,3,FALSE)</f>
        <v>0</v>
      </c>
      <c r="AK48" s="316">
        <f>VLOOKUP($C$48,$Q$26:$U$33,4,FALSE)</f>
        <v>0</v>
      </c>
      <c r="AL48" s="322">
        <f>VLOOKUP($C$48,$Q$26:$U$33,5,FALSE)</f>
        <v>0</v>
      </c>
      <c r="AN48" s="331">
        <f>VLOOKUP($C$48,$X$26:$AB$33,2,FALSE)</f>
        <v>0</v>
      </c>
      <c r="AO48" s="316">
        <f>VLOOKUP($C$48,$X$26:$AB$33,3,FALSE)</f>
        <v>0</v>
      </c>
      <c r="AP48" s="316">
        <f>VLOOKUP($C$48,$X$26:$AB$33,4,FALSE)</f>
        <v>0</v>
      </c>
      <c r="AQ48" s="322">
        <f>VLOOKUP($C$48,$X$26:$AB$33,5,FALSE)</f>
        <v>0</v>
      </c>
    </row>
    <row r="49" spans="1:43" x14ac:dyDescent="0.2">
      <c r="A49" s="355" t="str">
        <f>IF($O$75="N/A",$N$75,$O$75)</f>
        <v>N/A</v>
      </c>
      <c r="B49" s="336" t="s">
        <v>478</v>
      </c>
      <c r="C49" s="322">
        <f>IF(ISERROR(C_N1_MOD_LEV_CA S_take_off4),0,(C_N1_MOD_LEV_CA S_take_off4))</f>
        <v>0</v>
      </c>
      <c r="E49" s="331">
        <f t="shared" si="7"/>
        <v>0</v>
      </c>
      <c r="F49" s="316">
        <f t="shared" si="8"/>
        <v>0</v>
      </c>
      <c r="G49" s="316">
        <f t="shared" si="9"/>
        <v>0</v>
      </c>
      <c r="H49" s="322">
        <f t="shared" si="10"/>
        <v>0</v>
      </c>
      <c r="J49" s="331">
        <f t="shared" si="0"/>
        <v>0</v>
      </c>
      <c r="K49" s="316">
        <f t="shared" si="1"/>
        <v>0</v>
      </c>
      <c r="L49" s="316">
        <f t="shared" si="2"/>
        <v>0</v>
      </c>
      <c r="M49" s="322">
        <f t="shared" si="3"/>
        <v>0</v>
      </c>
      <c r="O49" s="331">
        <f t="shared" si="4"/>
        <v>0</v>
      </c>
      <c r="P49" s="316">
        <f t="shared" si="11"/>
        <v>0</v>
      </c>
      <c r="Q49" s="316">
        <f t="shared" si="5"/>
        <v>0</v>
      </c>
      <c r="R49" s="322">
        <f t="shared" si="6"/>
        <v>0</v>
      </c>
      <c r="T49" s="331">
        <f>VLOOKUP($C$49,$X$5:$AB$12,2,FALSE)</f>
        <v>0</v>
      </c>
      <c r="U49" s="316">
        <f>VLOOKUP($C$49,$X$5:$AB$12,3,FALSE)</f>
        <v>0</v>
      </c>
      <c r="V49" s="316">
        <f>VLOOKUP($C$49,$X$5:$AB$12,4,FALSE)</f>
        <v>0</v>
      </c>
      <c r="W49" s="322">
        <f>VLOOKUP($C$49,$X$5:$AB$12,5,FALSE)</f>
        <v>0</v>
      </c>
      <c r="Y49" s="331">
        <f>VLOOKUP($C$49,$C$26:$G$33,2,FALSE)</f>
        <v>0</v>
      </c>
      <c r="Z49" s="316">
        <f>VLOOKUP($C$49,$C$26:$G$33,3,FALSE)</f>
        <v>0</v>
      </c>
      <c r="AA49" s="316">
        <f>VLOOKUP($C$49,$C$26:$G$33,4,FALSE)</f>
        <v>0</v>
      </c>
      <c r="AB49" s="322">
        <f>VLOOKUP($C$49,$C$26:$G$33,5,FALSE)</f>
        <v>0</v>
      </c>
      <c r="AD49" s="331">
        <f>VLOOKUP($C$49,$J$26:$N$33,2,FALSE)</f>
        <v>0</v>
      </c>
      <c r="AE49" s="316">
        <f>VLOOKUP($C$49,$J$26:$N$33,3,FALSE)</f>
        <v>0</v>
      </c>
      <c r="AF49" s="316">
        <f>VLOOKUP($C$49,$J$26:$N$33,4,FALSE)</f>
        <v>0</v>
      </c>
      <c r="AG49" s="322">
        <f>VLOOKUP($C$49,$J$26:$N$33,5,FALSE)</f>
        <v>0</v>
      </c>
      <c r="AI49" s="331">
        <f>VLOOKUP($C$49,$Q$26:$U$33,2,FALSE)</f>
        <v>0</v>
      </c>
      <c r="AJ49" s="316">
        <f>VLOOKUP($C$49,$Q$26:$U$33,3,FALSE)</f>
        <v>0</v>
      </c>
      <c r="AK49" s="316">
        <f>VLOOKUP($C$49,$Q$26:$U$33,4,FALSE)</f>
        <v>0</v>
      </c>
      <c r="AL49" s="322">
        <f>VLOOKUP($C$49,$Q$26:$U$33,5,FALSE)</f>
        <v>0</v>
      </c>
      <c r="AN49" s="331">
        <f>VLOOKUP($C$49,$X$26:$AB$33,2,FALSE)</f>
        <v>0</v>
      </c>
      <c r="AO49" s="316">
        <f>VLOOKUP($C$49,$X$26:$AB$33,3,FALSE)</f>
        <v>0</v>
      </c>
      <c r="AP49" s="316">
        <f>VLOOKUP($C$49,$X$26:$AB$33,4,FALSE)</f>
        <v>0</v>
      </c>
      <c r="AQ49" s="322">
        <f>VLOOKUP($C$49,$X$26:$AB$33,5,FALSE)</f>
        <v>0</v>
      </c>
    </row>
    <row r="50" spans="1:43" x14ac:dyDescent="0.2">
      <c r="A50" s="355" t="str">
        <f>IF($O$76="N/A",$N$76,$O$76)</f>
        <v>N/A</v>
      </c>
      <c r="B50" s="336" t="s">
        <v>479</v>
      </c>
      <c r="C50" s="322">
        <f>IF(ISERROR(C_N1_MOD_LEV_CA S_take_off5),0,(C_N1_MOD_LEV_CA S_take_off5))</f>
        <v>0</v>
      </c>
      <c r="E50" s="331">
        <f t="shared" si="7"/>
        <v>0</v>
      </c>
      <c r="F50" s="316">
        <f t="shared" si="8"/>
        <v>0</v>
      </c>
      <c r="G50" s="316">
        <f t="shared" si="9"/>
        <v>0</v>
      </c>
      <c r="H50" s="322">
        <f t="shared" si="10"/>
        <v>0</v>
      </c>
      <c r="J50" s="331">
        <f t="shared" si="0"/>
        <v>0</v>
      </c>
      <c r="K50" s="316">
        <f t="shared" si="1"/>
        <v>0</v>
      </c>
      <c r="L50" s="316">
        <f t="shared" si="2"/>
        <v>0</v>
      </c>
      <c r="M50" s="322">
        <f t="shared" si="3"/>
        <v>0</v>
      </c>
      <c r="O50" s="331">
        <f t="shared" si="4"/>
        <v>0</v>
      </c>
      <c r="P50" s="316">
        <f t="shared" si="11"/>
        <v>0</v>
      </c>
      <c r="Q50" s="316">
        <f t="shared" si="5"/>
        <v>0</v>
      </c>
      <c r="R50" s="322">
        <f t="shared" si="6"/>
        <v>0</v>
      </c>
      <c r="T50" s="331">
        <f>VLOOKUP($C$50,$X$5:$AB$12,2,FALSE)</f>
        <v>0</v>
      </c>
      <c r="U50" s="316">
        <f>VLOOKUP($C$50,$X$5:$AB$12,3,FALSE)</f>
        <v>0</v>
      </c>
      <c r="V50" s="316">
        <f>VLOOKUP($C$50,$X$5:$AB$12,4,FALSE)</f>
        <v>0</v>
      </c>
      <c r="W50" s="322">
        <f>VLOOKUP($C$50,$X$5:$AB$12,5,FALSE)</f>
        <v>0</v>
      </c>
      <c r="Y50" s="331">
        <f>VLOOKUP($C$50,$C$26:$G$33,2,FALSE)</f>
        <v>0</v>
      </c>
      <c r="Z50" s="316">
        <f>VLOOKUP($C$50,$C$26:$G$33,3,FALSE)</f>
        <v>0</v>
      </c>
      <c r="AA50" s="316">
        <f>VLOOKUP($C$50,$C$26:$G$33,4,FALSE)</f>
        <v>0</v>
      </c>
      <c r="AB50" s="322">
        <f>VLOOKUP($C$50,$C$26:$G$33,5,FALSE)</f>
        <v>0</v>
      </c>
      <c r="AD50" s="331">
        <f>VLOOKUP($C$50,$J$26:$N$33,2,FALSE)</f>
        <v>0</v>
      </c>
      <c r="AE50" s="316">
        <f>VLOOKUP($C$50,$J$26:$N$33,3,FALSE)</f>
        <v>0</v>
      </c>
      <c r="AF50" s="316">
        <f>VLOOKUP($C$50,$J$26:$N$33,4,FALSE)</f>
        <v>0</v>
      </c>
      <c r="AG50" s="322">
        <f>VLOOKUP($C$50,$J$26:$N$33,5,FALSE)</f>
        <v>0</v>
      </c>
      <c r="AI50" s="331">
        <f>VLOOKUP($C$50,$Q$26:$U$33,2,FALSE)</f>
        <v>0</v>
      </c>
      <c r="AJ50" s="316">
        <f>VLOOKUP($C$50,$Q$26:$U$33,3,FALSE)</f>
        <v>0</v>
      </c>
      <c r="AK50" s="316">
        <f>VLOOKUP($C$50,$Q$26:$U$33,4,FALSE)</f>
        <v>0</v>
      </c>
      <c r="AL50" s="322">
        <f>VLOOKUP($C$50,$Q$26:$U$33,5,FALSE)</f>
        <v>0</v>
      </c>
      <c r="AN50" s="331">
        <f>VLOOKUP($C$50,$X$26:$AB$33,2,FALSE)</f>
        <v>0</v>
      </c>
      <c r="AO50" s="316">
        <f>VLOOKUP($C$50,$X$26:$AB$33,3,FALSE)</f>
        <v>0</v>
      </c>
      <c r="AP50" s="316">
        <f>VLOOKUP($C$50,$X$26:$AB$33,4,FALSE)</f>
        <v>0</v>
      </c>
      <c r="AQ50" s="322">
        <f>VLOOKUP($C$50,$X$26:$AB$33,5,FALSE)</f>
        <v>0</v>
      </c>
    </row>
    <row r="51" spans="1:43" x14ac:dyDescent="0.2">
      <c r="A51" s="355" t="str">
        <f>IF($O$77="N/A",$N$77,$O$77)</f>
        <v>N/A</v>
      </c>
      <c r="B51" s="336" t="s">
        <v>480</v>
      </c>
      <c r="C51" s="322">
        <f>IF(ISERROR(C_N1_MOD_LEV_CA S_take_off6),0,(C_N1_MOD_LEV_CA S_take_off6))</f>
        <v>0</v>
      </c>
      <c r="E51" s="331">
        <f t="shared" si="7"/>
        <v>0</v>
      </c>
      <c r="F51" s="316">
        <f t="shared" si="8"/>
        <v>0</v>
      </c>
      <c r="G51" s="316">
        <f t="shared" si="9"/>
        <v>0</v>
      </c>
      <c r="H51" s="322">
        <f t="shared" si="10"/>
        <v>0</v>
      </c>
      <c r="J51" s="331">
        <f t="shared" si="0"/>
        <v>0</v>
      </c>
      <c r="K51" s="316">
        <f t="shared" si="1"/>
        <v>0</v>
      </c>
      <c r="L51" s="316">
        <f t="shared" si="2"/>
        <v>0</v>
      </c>
      <c r="M51" s="322">
        <f t="shared" si="3"/>
        <v>0</v>
      </c>
      <c r="O51" s="331">
        <f t="shared" si="4"/>
        <v>0</v>
      </c>
      <c r="P51" s="316">
        <f t="shared" si="11"/>
        <v>0</v>
      </c>
      <c r="Q51" s="316">
        <f t="shared" si="5"/>
        <v>0</v>
      </c>
      <c r="R51" s="322">
        <f t="shared" si="6"/>
        <v>0</v>
      </c>
      <c r="T51" s="331">
        <f>VLOOKUP($C$51,$X$5:$AB$12,2,FALSE)</f>
        <v>0</v>
      </c>
      <c r="U51" s="316">
        <f>VLOOKUP($C$51,$X$5:$AB$12,3,FALSE)</f>
        <v>0</v>
      </c>
      <c r="V51" s="316">
        <f>VLOOKUP($C$51,$X$5:$AB$12,4,FALSE)</f>
        <v>0</v>
      </c>
      <c r="W51" s="322">
        <f>VLOOKUP($C$51,$X$5:$AB$12,5,FALSE)</f>
        <v>0</v>
      </c>
      <c r="Y51" s="331">
        <f>VLOOKUP($C$51,$C$26:$G$33,2,FALSE)</f>
        <v>0</v>
      </c>
      <c r="Z51" s="316">
        <f>VLOOKUP($C$51,$C$26:$G$33,3,FALSE)</f>
        <v>0</v>
      </c>
      <c r="AA51" s="316">
        <f>VLOOKUP($C$51,$C$26:$G$33,4,FALSE)</f>
        <v>0</v>
      </c>
      <c r="AB51" s="322">
        <f>VLOOKUP($C$51,$C$26:$G$33,5,FALSE)</f>
        <v>0</v>
      </c>
      <c r="AD51" s="331">
        <f>VLOOKUP($C$51,$J$26:$N$33,2,FALSE)</f>
        <v>0</v>
      </c>
      <c r="AE51" s="316">
        <f>VLOOKUP($C$51,$J$26:$N$33,3,FALSE)</f>
        <v>0</v>
      </c>
      <c r="AF51" s="316">
        <f>VLOOKUP($C$51,$J$26:$N$33,4,FALSE)</f>
        <v>0</v>
      </c>
      <c r="AG51" s="322">
        <f>VLOOKUP($C$51,$J$26:$N$33,5,FALSE)</f>
        <v>0</v>
      </c>
      <c r="AI51" s="331">
        <f>VLOOKUP($C$51,$Q$26:$U$33,2,FALSE)</f>
        <v>0</v>
      </c>
      <c r="AJ51" s="316">
        <f>VLOOKUP($C$51,$Q$26:$U$33,3,FALSE)</f>
        <v>0</v>
      </c>
      <c r="AK51" s="316">
        <f>VLOOKUP($C$51,$Q$26:$U$33,4,FALSE)</f>
        <v>0</v>
      </c>
      <c r="AL51" s="322">
        <f>VLOOKUP($C$51,$Q$26:$U$33,5,FALSE)</f>
        <v>0</v>
      </c>
      <c r="AN51" s="331">
        <f>VLOOKUP($C$51,$X$26:$AB$33,2,FALSE)</f>
        <v>0</v>
      </c>
      <c r="AO51" s="316">
        <f>VLOOKUP($C$51,$X$26:$AB$33,3,FALSE)</f>
        <v>0</v>
      </c>
      <c r="AP51" s="316">
        <f>VLOOKUP($C$51,$X$26:$AB$33,4,FALSE)</f>
        <v>0</v>
      </c>
      <c r="AQ51" s="322">
        <f>VLOOKUP($C$51,$X$26:$AB$33,5,FALSE)</f>
        <v>0</v>
      </c>
    </row>
    <row r="52" spans="1:43" x14ac:dyDescent="0.2">
      <c r="A52" s="355" t="str">
        <f>IF($O$78="N/A",$N$78,$O$78)</f>
        <v>N/A</v>
      </c>
      <c r="B52" s="336" t="s">
        <v>481</v>
      </c>
      <c r="C52" s="322">
        <f>IF(ISERROR(C_N1_MOD_LEV_CA S_take_off7),0,(C_N1_MOD_LEV_CA S_take_off7))</f>
        <v>0</v>
      </c>
      <c r="E52" s="331">
        <f t="shared" si="7"/>
        <v>0</v>
      </c>
      <c r="F52" s="316">
        <f t="shared" si="8"/>
        <v>0</v>
      </c>
      <c r="G52" s="316">
        <f t="shared" si="9"/>
        <v>0</v>
      </c>
      <c r="H52" s="322">
        <f t="shared" si="10"/>
        <v>0</v>
      </c>
      <c r="J52" s="331">
        <f t="shared" si="0"/>
        <v>0</v>
      </c>
      <c r="K52" s="316">
        <f t="shared" si="1"/>
        <v>0</v>
      </c>
      <c r="L52" s="316">
        <f t="shared" si="2"/>
        <v>0</v>
      </c>
      <c r="M52" s="322">
        <f t="shared" si="3"/>
        <v>0</v>
      </c>
      <c r="O52" s="331">
        <f t="shared" si="4"/>
        <v>0</v>
      </c>
      <c r="P52" s="316">
        <f t="shared" si="11"/>
        <v>0</v>
      </c>
      <c r="Q52" s="316">
        <f t="shared" si="5"/>
        <v>0</v>
      </c>
      <c r="R52" s="322">
        <f t="shared" si="6"/>
        <v>0</v>
      </c>
      <c r="T52" s="331">
        <f>VLOOKUP($C$52,$X$5:$AB$12,2,FALSE)</f>
        <v>0</v>
      </c>
      <c r="U52" s="316">
        <f>VLOOKUP($C$52,$X$5:$AB$12,3,FALSE)</f>
        <v>0</v>
      </c>
      <c r="V52" s="316">
        <f>VLOOKUP($C$52,$X$5:$AB$12,4,FALSE)</f>
        <v>0</v>
      </c>
      <c r="W52" s="322">
        <f>VLOOKUP($C$52,$X$5:$AB$12,5,FALSE)</f>
        <v>0</v>
      </c>
      <c r="Y52" s="331">
        <f>VLOOKUP($C$52,$C$26:$G$33,2,FALSE)</f>
        <v>0</v>
      </c>
      <c r="Z52" s="316">
        <f>VLOOKUP($C$52,$C$26:$G$33,3,FALSE)</f>
        <v>0</v>
      </c>
      <c r="AA52" s="316">
        <f>VLOOKUP($C$52,$C$26:$G$33,4,FALSE)</f>
        <v>0</v>
      </c>
      <c r="AB52" s="322">
        <f>VLOOKUP($C$52,$C$26:$G$33,5,FALSE)</f>
        <v>0</v>
      </c>
      <c r="AD52" s="331">
        <f>VLOOKUP($C$52,$J$26:$N$33,2,FALSE)</f>
        <v>0</v>
      </c>
      <c r="AE52" s="316">
        <f>VLOOKUP($C$52,$J$26:$N$33,3,FALSE)</f>
        <v>0</v>
      </c>
      <c r="AF52" s="316">
        <f>VLOOKUP($C$52,$J$26:$N$33,4,FALSE)</f>
        <v>0</v>
      </c>
      <c r="AG52" s="322">
        <f>VLOOKUP($C$52,$J$26:$N$33,5,FALSE)</f>
        <v>0</v>
      </c>
      <c r="AI52" s="331">
        <f>VLOOKUP($C$52,$Q$26:$U$33,2,FALSE)</f>
        <v>0</v>
      </c>
      <c r="AJ52" s="316">
        <f>VLOOKUP($C$52,$Q$26:$U$33,3,FALSE)</f>
        <v>0</v>
      </c>
      <c r="AK52" s="316">
        <f>VLOOKUP($C$52,$Q$26:$U$33,4,FALSE)</f>
        <v>0</v>
      </c>
      <c r="AL52" s="322">
        <f>VLOOKUP($C$52,$Q$26:$U$33,5,FALSE)</f>
        <v>0</v>
      </c>
      <c r="AN52" s="331">
        <f>VLOOKUP($C$52,$X$26:$AB$33,2,FALSE)</f>
        <v>0</v>
      </c>
      <c r="AO52" s="316">
        <f>VLOOKUP($C$52,$X$26:$AB$33,3,FALSE)</f>
        <v>0</v>
      </c>
      <c r="AP52" s="316">
        <f>VLOOKUP($C$52,$X$26:$AB$33,4,FALSE)</f>
        <v>0</v>
      </c>
      <c r="AQ52" s="322">
        <f>VLOOKUP($C$52,$X$26:$AB$33,5,FALSE)</f>
        <v>0</v>
      </c>
    </row>
    <row r="53" spans="1:43" x14ac:dyDescent="0.2">
      <c r="A53" s="355" t="str">
        <f>IF($O$79="N/A",$N$79,$O$79)</f>
        <v>N/A</v>
      </c>
      <c r="B53" s="336" t="s">
        <v>482</v>
      </c>
      <c r="C53" s="322">
        <f>IF(ISERROR(C_N1_MOD_LEV_CA S_take_off8),0,(C_N1_MOD_LEV_CA S_take_off8))</f>
        <v>0</v>
      </c>
      <c r="E53" s="331">
        <f t="shared" si="7"/>
        <v>0</v>
      </c>
      <c r="F53" s="316">
        <f t="shared" si="8"/>
        <v>0</v>
      </c>
      <c r="G53" s="316">
        <f t="shared" si="9"/>
        <v>0</v>
      </c>
      <c r="H53" s="322">
        <f t="shared" si="10"/>
        <v>0</v>
      </c>
      <c r="J53" s="331">
        <f t="shared" si="0"/>
        <v>0</v>
      </c>
      <c r="K53" s="316">
        <f t="shared" si="1"/>
        <v>0</v>
      </c>
      <c r="L53" s="316">
        <f t="shared" si="2"/>
        <v>0</v>
      </c>
      <c r="M53" s="322">
        <f t="shared" si="3"/>
        <v>0</v>
      </c>
      <c r="O53" s="331">
        <f t="shared" si="4"/>
        <v>0</v>
      </c>
      <c r="P53" s="316">
        <f t="shared" si="11"/>
        <v>0</v>
      </c>
      <c r="Q53" s="316">
        <f t="shared" si="5"/>
        <v>0</v>
      </c>
      <c r="R53" s="322">
        <f t="shared" si="6"/>
        <v>0</v>
      </c>
      <c r="T53" s="331">
        <f>VLOOKUP($C$53,$X$5:$AB$12,2,FALSE)</f>
        <v>0</v>
      </c>
      <c r="U53" s="316">
        <f>VLOOKUP($C$53,$X$5:$AB$12,3,FALSE)</f>
        <v>0</v>
      </c>
      <c r="V53" s="316">
        <f>VLOOKUP($C$53,$X$5:$AB$12,4,FALSE)</f>
        <v>0</v>
      </c>
      <c r="W53" s="322">
        <f>VLOOKUP($C$53,$X$5:$AB$12,5,FALSE)</f>
        <v>0</v>
      </c>
      <c r="Y53" s="331">
        <f>VLOOKUP($C$53,$C$26:$G$33,2,FALSE)</f>
        <v>0</v>
      </c>
      <c r="Z53" s="316">
        <f>VLOOKUP($C$53,$C$26:$G$33,3,FALSE)</f>
        <v>0</v>
      </c>
      <c r="AA53" s="316">
        <f>VLOOKUP($C$53,$C$26:$G$33,4,FALSE)</f>
        <v>0</v>
      </c>
      <c r="AB53" s="322">
        <f>VLOOKUP($C$53,$C$26:$G$33,5,FALSE)</f>
        <v>0</v>
      </c>
      <c r="AD53" s="331">
        <f>VLOOKUP($C$53,$J$26:$N$33,2,FALSE)</f>
        <v>0</v>
      </c>
      <c r="AE53" s="316">
        <f>VLOOKUP($C$53,$J$26:$N$33,3,FALSE)</f>
        <v>0</v>
      </c>
      <c r="AF53" s="316">
        <f>VLOOKUP($C$53,$J$26:$N$33,4,FALSE)</f>
        <v>0</v>
      </c>
      <c r="AG53" s="322">
        <f>VLOOKUP($C$53,$J$26:$N$33,5,FALSE)</f>
        <v>0</v>
      </c>
      <c r="AI53" s="331">
        <f>VLOOKUP($C$53,$Q$26:$U$33,2,FALSE)</f>
        <v>0</v>
      </c>
      <c r="AJ53" s="316">
        <f>VLOOKUP($C$53,$Q$26:$U$33,3,FALSE)</f>
        <v>0</v>
      </c>
      <c r="AK53" s="316">
        <f>VLOOKUP($C$53,$Q$26:$U$33,4,FALSE)</f>
        <v>0</v>
      </c>
      <c r="AL53" s="322">
        <f>VLOOKUP($C$53,$Q$26:$U$33,5,FALSE)</f>
        <v>0</v>
      </c>
      <c r="AN53" s="331">
        <f>VLOOKUP($C$53,$X$26:$AB$33,2,FALSE)</f>
        <v>0</v>
      </c>
      <c r="AO53" s="316">
        <f>VLOOKUP($C$53,$X$26:$AB$33,3,FALSE)</f>
        <v>0</v>
      </c>
      <c r="AP53" s="316">
        <f>VLOOKUP($C$53,$X$26:$AB$33,4,FALSE)</f>
        <v>0</v>
      </c>
      <c r="AQ53" s="322">
        <f>VLOOKUP($C$53,$X$26:$AB$33,5,FALSE)</f>
        <v>0</v>
      </c>
    </row>
    <row r="54" spans="1:43" ht="13.5" thickBot="1" x14ac:dyDescent="0.25">
      <c r="A54" s="356" t="str">
        <f>IF($O$80="N/A",$N$80,$O$80)</f>
        <v>N/A</v>
      </c>
      <c r="B54" s="337" t="s">
        <v>483</v>
      </c>
      <c r="C54" s="324">
        <f>IF(ISERROR(C_N1_MOD_LEV_CA S_take_off9),0,(C_N1_MOD_LEV_CA S_take_off9))</f>
        <v>0</v>
      </c>
      <c r="E54" s="332">
        <f t="shared" si="7"/>
        <v>0</v>
      </c>
      <c r="F54" s="323">
        <f t="shared" si="8"/>
        <v>0</v>
      </c>
      <c r="G54" s="323">
        <f t="shared" si="9"/>
        <v>0</v>
      </c>
      <c r="H54" s="324">
        <f t="shared" si="10"/>
        <v>0</v>
      </c>
      <c r="J54" s="332">
        <f t="shared" si="0"/>
        <v>0</v>
      </c>
      <c r="K54" s="323">
        <f t="shared" si="1"/>
        <v>0</v>
      </c>
      <c r="L54" s="323">
        <f t="shared" si="2"/>
        <v>0</v>
      </c>
      <c r="M54" s="324">
        <f t="shared" si="3"/>
        <v>0</v>
      </c>
      <c r="O54" s="332">
        <f t="shared" si="4"/>
        <v>0</v>
      </c>
      <c r="P54" s="323">
        <f t="shared" si="11"/>
        <v>0</v>
      </c>
      <c r="Q54" s="323">
        <f t="shared" si="5"/>
        <v>0</v>
      </c>
      <c r="R54" s="324">
        <f t="shared" si="6"/>
        <v>0</v>
      </c>
      <c r="T54" s="332">
        <f>VLOOKUP($C$54,$X$5:$AB$12,2,FALSE)</f>
        <v>0</v>
      </c>
      <c r="U54" s="323">
        <f>VLOOKUP($C$54,$X$5:$AB$12,3,FALSE)</f>
        <v>0</v>
      </c>
      <c r="V54" s="323">
        <f>VLOOKUP($C$54,$X$5:$AB$12,4,FALSE)</f>
        <v>0</v>
      </c>
      <c r="W54" s="324">
        <f>VLOOKUP($C$54,$X$5:$AB$12,5,FALSE)</f>
        <v>0</v>
      </c>
      <c r="Y54" s="332">
        <f>VLOOKUP($C$54,$C$26:$G$33,2,FALSE)</f>
        <v>0</v>
      </c>
      <c r="Z54" s="323">
        <f>VLOOKUP($C$54,$C$26:$G$33,3,FALSE)</f>
        <v>0</v>
      </c>
      <c r="AA54" s="323">
        <f>VLOOKUP($C$54,$C$26:$G$33,4,FALSE)</f>
        <v>0</v>
      </c>
      <c r="AB54" s="324">
        <f>VLOOKUP($C$54,$C$26:$G$33,5,FALSE)</f>
        <v>0</v>
      </c>
      <c r="AD54" s="332">
        <f>VLOOKUP($C$54,$J$26:$N$33,2,FALSE)</f>
        <v>0</v>
      </c>
      <c r="AE54" s="323">
        <f>VLOOKUP($C$54,$J$26:$N$33,3,FALSE)</f>
        <v>0</v>
      </c>
      <c r="AF54" s="323">
        <f>VLOOKUP($C$54,$J$26:$N$33,4,FALSE)</f>
        <v>0</v>
      </c>
      <c r="AG54" s="324">
        <f>VLOOKUP($C$54,$J$26:$N$33,5,FALSE)</f>
        <v>0</v>
      </c>
      <c r="AI54" s="332">
        <f>VLOOKUP($C$54,$Q$26:$U$33,2,FALSE)</f>
        <v>0</v>
      </c>
      <c r="AJ54" s="323">
        <f>VLOOKUP($C$54,$Q$26:$U$33,3,FALSE)</f>
        <v>0</v>
      </c>
      <c r="AK54" s="323">
        <f>VLOOKUP($C$54,$Q$26:$U$33,4,FALSE)</f>
        <v>0</v>
      </c>
      <c r="AL54" s="324">
        <f>VLOOKUP($C$54,$Q$26:$U$33,5,FALSE)</f>
        <v>0</v>
      </c>
      <c r="AN54" s="332">
        <f>VLOOKUP($C$54,$X$26:$AB$33,2,FALSE)</f>
        <v>0</v>
      </c>
      <c r="AO54" s="323">
        <f>VLOOKUP($C$54,$X$26:$AB$33,3,FALSE)</f>
        <v>0</v>
      </c>
      <c r="AP54" s="323">
        <f>VLOOKUP($C$54,$X$26:$AB$33,4,FALSE)</f>
        <v>0</v>
      </c>
      <c r="AQ54" s="324">
        <f>VLOOKUP($C$54,$X$26:$AB$33,5,FALSE)</f>
        <v>0</v>
      </c>
    </row>
    <row r="55" spans="1:43" ht="13.5" thickBot="1" x14ac:dyDescent="0.25"/>
    <row r="56" spans="1:43" ht="13.5" thickBot="1" x14ac:dyDescent="0.25">
      <c r="E56" s="608" t="s">
        <v>466</v>
      </c>
      <c r="F56" s="609"/>
      <c r="G56" s="609"/>
      <c r="H56" s="610"/>
      <c r="J56" s="608" t="s">
        <v>466</v>
      </c>
      <c r="K56" s="609"/>
      <c r="L56" s="609"/>
      <c r="M56" s="610"/>
      <c r="O56" s="608" t="s">
        <v>466</v>
      </c>
      <c r="P56" s="609"/>
      <c r="Q56" s="609"/>
      <c r="R56" s="610"/>
      <c r="T56" s="608" t="s">
        <v>466</v>
      </c>
      <c r="U56" s="609"/>
      <c r="V56" s="609"/>
      <c r="W56" s="610"/>
      <c r="Y56" s="608" t="s">
        <v>466</v>
      </c>
      <c r="Z56" s="609"/>
      <c r="AA56" s="609"/>
      <c r="AB56" s="610"/>
      <c r="AD56" s="608" t="s">
        <v>466</v>
      </c>
      <c r="AE56" s="609"/>
      <c r="AF56" s="609"/>
      <c r="AG56" s="610"/>
      <c r="AI56" s="608" t="s">
        <v>466</v>
      </c>
      <c r="AJ56" s="609"/>
      <c r="AK56" s="609"/>
      <c r="AL56" s="610"/>
      <c r="AN56" s="608" t="s">
        <v>466</v>
      </c>
      <c r="AO56" s="609"/>
      <c r="AP56" s="609"/>
      <c r="AQ56" s="610"/>
    </row>
    <row r="57" spans="1:43" ht="13.5" thickBot="1" x14ac:dyDescent="0.25">
      <c r="E57" s="611" t="s">
        <v>467</v>
      </c>
      <c r="F57" s="612"/>
      <c r="G57" s="612"/>
      <c r="H57" s="613"/>
      <c r="J57" s="611" t="s">
        <v>468</v>
      </c>
      <c r="K57" s="612"/>
      <c r="L57" s="612"/>
      <c r="M57" s="613"/>
      <c r="O57" s="611" t="s">
        <v>469</v>
      </c>
      <c r="P57" s="612"/>
      <c r="Q57" s="612"/>
      <c r="R57" s="613"/>
      <c r="T57" s="611" t="s">
        <v>470</v>
      </c>
      <c r="U57" s="612"/>
      <c r="V57" s="612"/>
      <c r="W57" s="613"/>
      <c r="Y57" s="611" t="s">
        <v>472</v>
      </c>
      <c r="Z57" s="612"/>
      <c r="AA57" s="612"/>
      <c r="AB57" s="613"/>
      <c r="AD57" s="611" t="s">
        <v>473</v>
      </c>
      <c r="AE57" s="612"/>
      <c r="AF57" s="612"/>
      <c r="AG57" s="613"/>
      <c r="AI57" s="611" t="s">
        <v>471</v>
      </c>
      <c r="AJ57" s="612"/>
      <c r="AK57" s="612"/>
      <c r="AL57" s="613"/>
      <c r="AN57" s="611" t="s">
        <v>474</v>
      </c>
      <c r="AO57" s="612"/>
      <c r="AP57" s="612"/>
      <c r="AQ57" s="613"/>
    </row>
    <row r="58" spans="1:43" ht="13.5" thickBot="1" x14ac:dyDescent="0.25">
      <c r="E58" s="317" t="s">
        <v>461</v>
      </c>
      <c r="F58" s="318" t="s">
        <v>462</v>
      </c>
      <c r="G58" s="318" t="s">
        <v>463</v>
      </c>
      <c r="H58" s="319" t="s">
        <v>464</v>
      </c>
      <c r="J58" s="317" t="s">
        <v>461</v>
      </c>
      <c r="K58" s="318" t="s">
        <v>462</v>
      </c>
      <c r="L58" s="318" t="s">
        <v>463</v>
      </c>
      <c r="M58" s="319" t="s">
        <v>464</v>
      </c>
      <c r="O58" s="317" t="s">
        <v>461</v>
      </c>
      <c r="P58" s="318" t="s">
        <v>462</v>
      </c>
      <c r="Q58" s="318" t="s">
        <v>463</v>
      </c>
      <c r="R58" s="319" t="s">
        <v>464</v>
      </c>
      <c r="T58" s="317" t="s">
        <v>461</v>
      </c>
      <c r="U58" s="318" t="s">
        <v>462</v>
      </c>
      <c r="V58" s="318" t="s">
        <v>463</v>
      </c>
      <c r="W58" s="319" t="s">
        <v>464</v>
      </c>
      <c r="Y58" s="317" t="s">
        <v>461</v>
      </c>
      <c r="Z58" s="318" t="s">
        <v>462</v>
      </c>
      <c r="AA58" s="318" t="s">
        <v>463</v>
      </c>
      <c r="AB58" s="319" t="s">
        <v>464</v>
      </c>
      <c r="AD58" s="317" t="s">
        <v>461</v>
      </c>
      <c r="AE58" s="318" t="s">
        <v>462</v>
      </c>
      <c r="AF58" s="318" t="s">
        <v>463</v>
      </c>
      <c r="AG58" s="319" t="s">
        <v>464</v>
      </c>
      <c r="AI58" s="317" t="s">
        <v>461</v>
      </c>
      <c r="AJ58" s="318" t="s">
        <v>462</v>
      </c>
      <c r="AK58" s="318" t="s">
        <v>463</v>
      </c>
      <c r="AL58" s="319" t="s">
        <v>464</v>
      </c>
      <c r="AN58" s="317" t="s">
        <v>461</v>
      </c>
      <c r="AO58" s="318" t="s">
        <v>462</v>
      </c>
      <c r="AP58" s="318" t="s">
        <v>463</v>
      </c>
      <c r="AQ58" s="319" t="s">
        <v>464</v>
      </c>
    </row>
    <row r="59" spans="1:43" x14ac:dyDescent="0.2">
      <c r="E59" s="330">
        <f>VLOOKUP(C46,$C$13:$G$20,2,FALSE)</f>
        <v>0</v>
      </c>
      <c r="F59" s="320">
        <f>VLOOKUP(C46,$C$13:$G$20,3,FALSE)</f>
        <v>0</v>
      </c>
      <c r="G59" s="320">
        <f>VLOOKUP(C46,$C$13:$G$20,4,FALSE)</f>
        <v>0</v>
      </c>
      <c r="H59" s="321">
        <f>VLOOKUP(C46,$C$13:$G$20,5,FALSE)</f>
        <v>0</v>
      </c>
      <c r="J59" s="330">
        <f>VLOOKUP(C46,$J$13:$N$20,2,FALSE)</f>
        <v>0</v>
      </c>
      <c r="K59" s="320">
        <f>VLOOKUP(C46,$J$13:$N$20,3,FALSE)</f>
        <v>0</v>
      </c>
      <c r="L59" s="320">
        <f>VLOOKUP(C46,$J$13:$N$20,4,FALSE)</f>
        <v>0</v>
      </c>
      <c r="M59" s="321">
        <f>VLOOKUP(C46,$J$13:$N$20,5,FALSE)</f>
        <v>0</v>
      </c>
      <c r="O59" s="330">
        <f>VLOOKUP(C46,$Q$13:$U$20,2,FALSE)</f>
        <v>0</v>
      </c>
      <c r="P59" s="320">
        <f t="shared" ref="P59:P67" si="12">VLOOKUP(C46,$Q$13:$U$20,3,FALSE)</f>
        <v>0</v>
      </c>
      <c r="Q59" s="320">
        <f t="shared" ref="Q59:Q67" si="13">VLOOKUP(C46,$Q$13:$U$20,4,FALSE)</f>
        <v>0</v>
      </c>
      <c r="R59" s="321">
        <f t="shared" ref="R59:R67" si="14">VLOOKUP(C46,$Q$13:$U$20,5,FALSE)</f>
        <v>0</v>
      </c>
      <c r="T59" s="330">
        <f>VLOOKUP($C$46,$X$13:$AB$20,2,FALSE)</f>
        <v>0</v>
      </c>
      <c r="U59" s="320">
        <f>VLOOKUP($C$46,$X$13:$AB$20,3,FALSE)</f>
        <v>0</v>
      </c>
      <c r="V59" s="320">
        <f>VLOOKUP($C$46,$X$13:$AB$20,4,FALSE)</f>
        <v>0</v>
      </c>
      <c r="W59" s="321">
        <f>VLOOKUP($C$46,$X$13:$AB$20,5,FALSE)</f>
        <v>0</v>
      </c>
      <c r="Y59" s="330">
        <f>VLOOKUP($C$46,$C$34:$G$41,2,FALSE)</f>
        <v>0</v>
      </c>
      <c r="Z59" s="320">
        <f>VLOOKUP($C$46,$C$34:$G$41,3,FALSE)</f>
        <v>0</v>
      </c>
      <c r="AA59" s="320">
        <f>VLOOKUP($C$46,$C$34:$G$41,4,FALSE)</f>
        <v>0</v>
      </c>
      <c r="AB59" s="321">
        <f>VLOOKUP($C$46,$C$34:$G$41,5,FALSE)</f>
        <v>0</v>
      </c>
      <c r="AD59" s="330">
        <f>VLOOKUP($C$46,$J$34:$N$41,2,FALSE)</f>
        <v>0</v>
      </c>
      <c r="AE59" s="320">
        <f>VLOOKUP($C$46,$J$34:$N$41,3,FALSE)</f>
        <v>0</v>
      </c>
      <c r="AF59" s="320">
        <f>VLOOKUP($C$46,$J$34:$N$41,4,FALSE)</f>
        <v>0</v>
      </c>
      <c r="AG59" s="321">
        <f>VLOOKUP($C$46,$J$34:$N$41,5,FALSE)</f>
        <v>0</v>
      </c>
      <c r="AI59" s="330">
        <f>VLOOKUP($C$46,$Q$34:$U$41,2,FALSE)</f>
        <v>0</v>
      </c>
      <c r="AJ59" s="320">
        <f>VLOOKUP($C$46,$Q$34:$U$41,3,FALSE)</f>
        <v>0</v>
      </c>
      <c r="AK59" s="320">
        <f>VLOOKUP($C$46,$Q$34:$U$41,4,FALSE)</f>
        <v>0</v>
      </c>
      <c r="AL59" s="321">
        <f>VLOOKUP($C$46,$Q$34:$U$41,5,FALSE)</f>
        <v>0</v>
      </c>
      <c r="AN59" s="330">
        <f>VLOOKUP($C$46,$X$34:$AB$41,2,FALSE)</f>
        <v>0</v>
      </c>
      <c r="AO59" s="320">
        <f>VLOOKUP($C$46,$X$34:$AB$41,3,FALSE)</f>
        <v>0</v>
      </c>
      <c r="AP59" s="320">
        <f>VLOOKUP($C$46,$X$34:$AB$41,4,FALSE)</f>
        <v>0</v>
      </c>
      <c r="AQ59" s="321">
        <f>VLOOKUP($C$46,$X$34:$AB$41,5,FALSE)</f>
        <v>0</v>
      </c>
    </row>
    <row r="60" spans="1:43" x14ac:dyDescent="0.2">
      <c r="E60" s="331">
        <f t="shared" ref="E60:E67" si="15">VLOOKUP(C47,$C$13:$G$20,2,FALSE)</f>
        <v>0</v>
      </c>
      <c r="F60" s="316">
        <f t="shared" ref="F60:F67" si="16">VLOOKUP(C47,$C$13:$G$20,3,FALSE)</f>
        <v>0</v>
      </c>
      <c r="G60" s="316">
        <f t="shared" ref="G60:G67" si="17">VLOOKUP(C47,$C$13:$G$20,4,FALSE)</f>
        <v>0</v>
      </c>
      <c r="H60" s="322">
        <f t="shared" ref="H60:H67" si="18">VLOOKUP(C47,$C$13:$G$20,5,FALSE)</f>
        <v>0</v>
      </c>
      <c r="J60" s="331">
        <f t="shared" ref="J60:J67" si="19">VLOOKUP(C47,$J$13:$N$20,2,FALSE)</f>
        <v>0</v>
      </c>
      <c r="K60" s="316">
        <f t="shared" ref="K60:K67" si="20">VLOOKUP(C47,$J$13:$N$20,3,FALSE)</f>
        <v>0</v>
      </c>
      <c r="L60" s="316">
        <f t="shared" ref="L60:L67" si="21">VLOOKUP(C47,$J$13:$N$20,4,FALSE)</f>
        <v>0</v>
      </c>
      <c r="M60" s="322">
        <f t="shared" ref="M60:M67" si="22">VLOOKUP(C47,$J$13:$N$20,5,FALSE)</f>
        <v>0</v>
      </c>
      <c r="O60" s="331">
        <f t="shared" ref="O60:O67" si="23">VLOOKUP(C47,$Q$13:$U$20,2,FALSE)</f>
        <v>0</v>
      </c>
      <c r="P60" s="316">
        <f t="shared" si="12"/>
        <v>0</v>
      </c>
      <c r="Q60" s="316">
        <f t="shared" si="13"/>
        <v>0</v>
      </c>
      <c r="R60" s="322">
        <f t="shared" si="14"/>
        <v>0</v>
      </c>
      <c r="T60" s="331">
        <f>VLOOKUP($C$47,$X$13:$AB$20,2,FALSE)</f>
        <v>0</v>
      </c>
      <c r="U60" s="316">
        <f>VLOOKUP($C$47,$X$13:$AB$20,3,FALSE)</f>
        <v>0</v>
      </c>
      <c r="V60" s="316">
        <f>VLOOKUP($C$47,$X$13:$AB$20,4,FALSE)</f>
        <v>0</v>
      </c>
      <c r="W60" s="322">
        <f>VLOOKUP($C$47,$X$13:$AB$20,5,FALSE)</f>
        <v>0</v>
      </c>
      <c r="Y60" s="331">
        <f>VLOOKUP($C$47,$C$34:$G$41,2,FALSE)</f>
        <v>0</v>
      </c>
      <c r="Z60" s="316">
        <f>VLOOKUP($C$47,$C$34:$G$41,3,FALSE)</f>
        <v>0</v>
      </c>
      <c r="AA60" s="316">
        <f>VLOOKUP($C$47,$C$34:$G$41,4,FALSE)</f>
        <v>0</v>
      </c>
      <c r="AB60" s="322">
        <f>VLOOKUP($C$47,$C$34:$G$41,5,FALSE)</f>
        <v>0</v>
      </c>
      <c r="AD60" s="331">
        <f>VLOOKUP($C$47,$J$34:$N$41,2,FALSE)</f>
        <v>0</v>
      </c>
      <c r="AE60" s="316">
        <f>VLOOKUP($C$47,$J$34:$N$41,3,FALSE)</f>
        <v>0</v>
      </c>
      <c r="AF60" s="316">
        <f>VLOOKUP($C$47,$J$34:$N$41,4,FALSE)</f>
        <v>0</v>
      </c>
      <c r="AG60" s="322">
        <f>VLOOKUP($C$47,$J$34:$N$41,5,FALSE)</f>
        <v>0</v>
      </c>
      <c r="AI60" s="331">
        <f>VLOOKUP($C$47,$Q$34:$U$41,2,FALSE)</f>
        <v>0</v>
      </c>
      <c r="AJ60" s="316">
        <f>VLOOKUP($C$47,$Q$34:$U$41,3,FALSE)</f>
        <v>0</v>
      </c>
      <c r="AK60" s="316">
        <f>VLOOKUP($C$47,$Q$34:$U$41,4,FALSE)</f>
        <v>0</v>
      </c>
      <c r="AL60" s="322">
        <f>VLOOKUP($C$47,$Q$34:$U$41,5,FALSE)</f>
        <v>0</v>
      </c>
      <c r="AN60" s="331">
        <f>VLOOKUP($C$47,$X$34:$AB$41,2,FALSE)</f>
        <v>0</v>
      </c>
      <c r="AO60" s="316">
        <f>VLOOKUP($C$47,$X$34:$AB$41,3,FALSE)</f>
        <v>0</v>
      </c>
      <c r="AP60" s="316">
        <f>VLOOKUP($C$47,$X$34:$AB$41,4,FALSE)</f>
        <v>0</v>
      </c>
      <c r="AQ60" s="322">
        <f>VLOOKUP($C$47,$X$34:$AB$41,5,FALSE)</f>
        <v>0</v>
      </c>
    </row>
    <row r="61" spans="1:43" x14ac:dyDescent="0.2">
      <c r="E61" s="331">
        <f t="shared" si="15"/>
        <v>0</v>
      </c>
      <c r="F61" s="316">
        <f t="shared" si="16"/>
        <v>0</v>
      </c>
      <c r="G61" s="316">
        <f t="shared" si="17"/>
        <v>0</v>
      </c>
      <c r="H61" s="322">
        <f t="shared" si="18"/>
        <v>0</v>
      </c>
      <c r="J61" s="331">
        <f t="shared" si="19"/>
        <v>0</v>
      </c>
      <c r="K61" s="316">
        <f t="shared" si="20"/>
        <v>0</v>
      </c>
      <c r="L61" s="316">
        <f t="shared" si="21"/>
        <v>0</v>
      </c>
      <c r="M61" s="322">
        <f t="shared" si="22"/>
        <v>0</v>
      </c>
      <c r="O61" s="331">
        <f t="shared" si="23"/>
        <v>0</v>
      </c>
      <c r="P61" s="316">
        <f t="shared" si="12"/>
        <v>0</v>
      </c>
      <c r="Q61" s="316">
        <f t="shared" si="13"/>
        <v>0</v>
      </c>
      <c r="R61" s="322">
        <f t="shared" si="14"/>
        <v>0</v>
      </c>
      <c r="T61" s="331">
        <f>VLOOKUP($C$48,$X$13:$AB$20,2,FALSE)</f>
        <v>0</v>
      </c>
      <c r="U61" s="316">
        <f>VLOOKUP($C$48,$X$13:$AB$20,3,FALSE)</f>
        <v>0</v>
      </c>
      <c r="V61" s="316">
        <f>VLOOKUP($C$48,$X$13:$AB$20,4,FALSE)</f>
        <v>0</v>
      </c>
      <c r="W61" s="322">
        <f>VLOOKUP($C$48,$X$13:$AB$20,5,FALSE)</f>
        <v>0</v>
      </c>
      <c r="Y61" s="331">
        <f>VLOOKUP($C$48,$C$34:$G$41,2,FALSE)</f>
        <v>0</v>
      </c>
      <c r="Z61" s="316">
        <f>VLOOKUP($C$48,$C$34:$G$41,3,FALSE)</f>
        <v>0</v>
      </c>
      <c r="AA61" s="316">
        <f>VLOOKUP($C$48,$C$34:$G$41,4,FALSE)</f>
        <v>0</v>
      </c>
      <c r="AB61" s="322">
        <f>VLOOKUP($C$48,$C$34:$G$41,5,FALSE)</f>
        <v>0</v>
      </c>
      <c r="AD61" s="331">
        <f>VLOOKUP($C$48,$J$34:$N$41,2,FALSE)</f>
        <v>0</v>
      </c>
      <c r="AE61" s="316">
        <f>VLOOKUP($C$48,$J$34:$N$41,3,FALSE)</f>
        <v>0</v>
      </c>
      <c r="AF61" s="316">
        <f>VLOOKUP($C$48,$J$34:$N$41,4,FALSE)</f>
        <v>0</v>
      </c>
      <c r="AG61" s="322">
        <f>VLOOKUP($C$48,$J$34:$N$41,5,FALSE)</f>
        <v>0</v>
      </c>
      <c r="AI61" s="331">
        <f>VLOOKUP($C$48,$Q$34:$U$41,2,FALSE)</f>
        <v>0</v>
      </c>
      <c r="AJ61" s="316">
        <f>VLOOKUP($C$48,$Q$34:$U$41,3,FALSE)</f>
        <v>0</v>
      </c>
      <c r="AK61" s="316">
        <f>VLOOKUP($C$48,$Q$34:$U$41,4,FALSE)</f>
        <v>0</v>
      </c>
      <c r="AL61" s="322">
        <f>VLOOKUP($C$48,$Q$34:$U$41,5,FALSE)</f>
        <v>0</v>
      </c>
      <c r="AN61" s="331">
        <f>VLOOKUP($C$48,$X$34:$AB$41,2,FALSE)</f>
        <v>0</v>
      </c>
      <c r="AO61" s="316">
        <f>VLOOKUP($C$48,$X$34:$AB$41,3,FALSE)</f>
        <v>0</v>
      </c>
      <c r="AP61" s="316">
        <f>VLOOKUP($C$48,$X$34:$AB$41,4,FALSE)</f>
        <v>0</v>
      </c>
      <c r="AQ61" s="322">
        <f>VLOOKUP($C$48,$X$34:$AB$41,5,FALSE)</f>
        <v>0</v>
      </c>
    </row>
    <row r="62" spans="1:43" x14ac:dyDescent="0.2">
      <c r="E62" s="331">
        <f t="shared" si="15"/>
        <v>0</v>
      </c>
      <c r="F62" s="316">
        <f t="shared" si="16"/>
        <v>0</v>
      </c>
      <c r="G62" s="316">
        <f t="shared" si="17"/>
        <v>0</v>
      </c>
      <c r="H62" s="322">
        <f t="shared" si="18"/>
        <v>0</v>
      </c>
      <c r="J62" s="331">
        <f t="shared" si="19"/>
        <v>0</v>
      </c>
      <c r="K62" s="316">
        <f t="shared" si="20"/>
        <v>0</v>
      </c>
      <c r="L62" s="316">
        <f t="shared" si="21"/>
        <v>0</v>
      </c>
      <c r="M62" s="322">
        <f t="shared" si="22"/>
        <v>0</v>
      </c>
      <c r="O62" s="331">
        <f t="shared" si="23"/>
        <v>0</v>
      </c>
      <c r="P62" s="316">
        <f t="shared" si="12"/>
        <v>0</v>
      </c>
      <c r="Q62" s="316">
        <f t="shared" si="13"/>
        <v>0</v>
      </c>
      <c r="R62" s="322">
        <f t="shared" si="14"/>
        <v>0</v>
      </c>
      <c r="T62" s="331">
        <f>VLOOKUP($C$49,$X$13:$AB$20,2,FALSE)</f>
        <v>0</v>
      </c>
      <c r="U62" s="316">
        <f>VLOOKUP($C$49,$X$13:$AB$20,3,FALSE)</f>
        <v>0</v>
      </c>
      <c r="V62" s="316">
        <f>VLOOKUP($C$49,$X$13:$AB$20,4,FALSE)</f>
        <v>0</v>
      </c>
      <c r="W62" s="322">
        <f>VLOOKUP($C$49,$X$13:$AB$20,5,FALSE)</f>
        <v>0</v>
      </c>
      <c r="Y62" s="331">
        <f>VLOOKUP($C$49,$C$34:$G$41,2,FALSE)</f>
        <v>0</v>
      </c>
      <c r="Z62" s="316">
        <f>VLOOKUP($C$49,$C$34:$G$41,3,FALSE)</f>
        <v>0</v>
      </c>
      <c r="AA62" s="316">
        <f>VLOOKUP($C$49,$C$34:$G$41,4,FALSE)</f>
        <v>0</v>
      </c>
      <c r="AB62" s="322">
        <f>VLOOKUP($C$49,$C$34:$G$41,5,FALSE)</f>
        <v>0</v>
      </c>
      <c r="AD62" s="331">
        <f>VLOOKUP($C$49,$J$34:$N$41,2,FALSE)</f>
        <v>0</v>
      </c>
      <c r="AE62" s="316">
        <f>VLOOKUP($C$49,$J$34:$N$41,3,FALSE)</f>
        <v>0</v>
      </c>
      <c r="AF62" s="316">
        <f>VLOOKUP($C$49,$J$34:$N$41,4,FALSE)</f>
        <v>0</v>
      </c>
      <c r="AG62" s="322">
        <f>VLOOKUP($C$49,$J$34:$N$41,5,FALSE)</f>
        <v>0</v>
      </c>
      <c r="AI62" s="331">
        <f>VLOOKUP($C$49,$Q$34:$U$41,2,FALSE)</f>
        <v>0</v>
      </c>
      <c r="AJ62" s="316">
        <f>VLOOKUP($C$49,$Q$34:$U$41,3,FALSE)</f>
        <v>0</v>
      </c>
      <c r="AK62" s="316">
        <f>VLOOKUP($C$49,$Q$34:$U$41,4,FALSE)</f>
        <v>0</v>
      </c>
      <c r="AL62" s="322">
        <f>VLOOKUP($C$49,$Q$34:$U$41,5,FALSE)</f>
        <v>0</v>
      </c>
      <c r="AN62" s="331">
        <f>VLOOKUP($C$49,$X$34:$AB$41,2,FALSE)</f>
        <v>0</v>
      </c>
      <c r="AO62" s="316">
        <f>VLOOKUP($C$49,$X$34:$AB$41,3,FALSE)</f>
        <v>0</v>
      </c>
      <c r="AP62" s="316">
        <f>VLOOKUP($C$49,$X$34:$AB$41,4,FALSE)</f>
        <v>0</v>
      </c>
      <c r="AQ62" s="322">
        <f>VLOOKUP($C$49,$X$34:$AB$41,5,FALSE)</f>
        <v>0</v>
      </c>
    </row>
    <row r="63" spans="1:43" x14ac:dyDescent="0.2">
      <c r="E63" s="331">
        <f t="shared" si="15"/>
        <v>0</v>
      </c>
      <c r="F63" s="316">
        <f t="shared" si="16"/>
        <v>0</v>
      </c>
      <c r="G63" s="316">
        <f t="shared" si="17"/>
        <v>0</v>
      </c>
      <c r="H63" s="322">
        <f t="shared" si="18"/>
        <v>0</v>
      </c>
      <c r="J63" s="331">
        <f t="shared" si="19"/>
        <v>0</v>
      </c>
      <c r="K63" s="316">
        <f t="shared" si="20"/>
        <v>0</v>
      </c>
      <c r="L63" s="316">
        <f t="shared" si="21"/>
        <v>0</v>
      </c>
      <c r="M63" s="322">
        <f t="shared" si="22"/>
        <v>0</v>
      </c>
      <c r="O63" s="331">
        <f t="shared" si="23"/>
        <v>0</v>
      </c>
      <c r="P63" s="316">
        <f t="shared" si="12"/>
        <v>0</v>
      </c>
      <c r="Q63" s="316">
        <f t="shared" si="13"/>
        <v>0</v>
      </c>
      <c r="R63" s="322">
        <f t="shared" si="14"/>
        <v>0</v>
      </c>
      <c r="T63" s="331">
        <f>VLOOKUP($C$50,$X$13:$AB$20,2,FALSE)</f>
        <v>0</v>
      </c>
      <c r="U63" s="316">
        <f>VLOOKUP($C$50,$X$13:$AB$20,3,FALSE)</f>
        <v>0</v>
      </c>
      <c r="V63" s="316">
        <f>VLOOKUP($C$50,$X$13:$AB$20,4,FALSE)</f>
        <v>0</v>
      </c>
      <c r="W63" s="322">
        <f>VLOOKUP($C$50,$X$13:$AB$20,5,FALSE)</f>
        <v>0</v>
      </c>
      <c r="Y63" s="331">
        <f>VLOOKUP($C$50,$C$34:$G$41,2,FALSE)</f>
        <v>0</v>
      </c>
      <c r="Z63" s="316">
        <f>VLOOKUP($C$50,$C$34:$G$41,3,FALSE)</f>
        <v>0</v>
      </c>
      <c r="AA63" s="316">
        <f>VLOOKUP($C$50,$C$34:$G$41,4,FALSE)</f>
        <v>0</v>
      </c>
      <c r="AB63" s="322">
        <f>VLOOKUP($C$50,$C$34:$G$41,5,FALSE)</f>
        <v>0</v>
      </c>
      <c r="AD63" s="331">
        <f>VLOOKUP($C$50,$J$34:$N$41,2,FALSE)</f>
        <v>0</v>
      </c>
      <c r="AE63" s="316">
        <f>VLOOKUP($C$50,$J$34:$N$41,3,FALSE)</f>
        <v>0</v>
      </c>
      <c r="AF63" s="316">
        <f>VLOOKUP($C$50,$J$34:$N$41,4,FALSE)</f>
        <v>0</v>
      </c>
      <c r="AG63" s="322">
        <f>VLOOKUP($C$50,$J$34:$N$41,5,FALSE)</f>
        <v>0</v>
      </c>
      <c r="AI63" s="331">
        <f>VLOOKUP($C$50,$Q$34:$U$41,2,FALSE)</f>
        <v>0</v>
      </c>
      <c r="AJ63" s="316">
        <f>VLOOKUP($C$50,$Q$34:$U$41,3,FALSE)</f>
        <v>0</v>
      </c>
      <c r="AK63" s="316">
        <f>VLOOKUP($C$50,$Q$34:$U$41,4,FALSE)</f>
        <v>0</v>
      </c>
      <c r="AL63" s="322">
        <f>VLOOKUP($C$50,$Q$34:$U$41,5,FALSE)</f>
        <v>0</v>
      </c>
      <c r="AN63" s="331">
        <f>VLOOKUP($C$50,$X$34:$AB$41,2,FALSE)</f>
        <v>0</v>
      </c>
      <c r="AO63" s="316">
        <f>VLOOKUP($C$50,$X$34:$AB$41,3,FALSE)</f>
        <v>0</v>
      </c>
      <c r="AP63" s="316">
        <f>VLOOKUP($C$50,$X$34:$AB$41,4,FALSE)</f>
        <v>0</v>
      </c>
      <c r="AQ63" s="322">
        <f>VLOOKUP($C$50,$X$34:$AB$41,5,FALSE)</f>
        <v>0</v>
      </c>
    </row>
    <row r="64" spans="1:43" x14ac:dyDescent="0.2">
      <c r="E64" s="331">
        <f t="shared" si="15"/>
        <v>0</v>
      </c>
      <c r="F64" s="316">
        <f t="shared" si="16"/>
        <v>0</v>
      </c>
      <c r="G64" s="316">
        <f t="shared" si="17"/>
        <v>0</v>
      </c>
      <c r="H64" s="322">
        <f t="shared" si="18"/>
        <v>0</v>
      </c>
      <c r="J64" s="331">
        <f t="shared" si="19"/>
        <v>0</v>
      </c>
      <c r="K64" s="316">
        <f t="shared" si="20"/>
        <v>0</v>
      </c>
      <c r="L64" s="316">
        <f t="shared" si="21"/>
        <v>0</v>
      </c>
      <c r="M64" s="322">
        <f t="shared" si="22"/>
        <v>0</v>
      </c>
      <c r="O64" s="331">
        <f t="shared" si="23"/>
        <v>0</v>
      </c>
      <c r="P64" s="316">
        <f t="shared" si="12"/>
        <v>0</v>
      </c>
      <c r="Q64" s="316">
        <f t="shared" si="13"/>
        <v>0</v>
      </c>
      <c r="R64" s="322">
        <f t="shared" si="14"/>
        <v>0</v>
      </c>
      <c r="T64" s="331">
        <f>VLOOKUP($C$51,$X$13:$AB$20,2,FALSE)</f>
        <v>0</v>
      </c>
      <c r="U64" s="316">
        <f>VLOOKUP($C$51,$X$13:$AB$20,3,FALSE)</f>
        <v>0</v>
      </c>
      <c r="V64" s="316">
        <f>VLOOKUP($C$51,$X$13:$AB$20,4,FALSE)</f>
        <v>0</v>
      </c>
      <c r="W64" s="322">
        <f>VLOOKUP($C$51,$X$13:$AB$20,5,FALSE)</f>
        <v>0</v>
      </c>
      <c r="Y64" s="331">
        <f>VLOOKUP($C$51,$C$34:$G$41,2,FALSE)</f>
        <v>0</v>
      </c>
      <c r="Z64" s="316">
        <f>VLOOKUP($C$51,$C$34:$G$41,3,FALSE)</f>
        <v>0</v>
      </c>
      <c r="AA64" s="316">
        <f>VLOOKUP($C$51,$C$34:$G$41,4,FALSE)</f>
        <v>0</v>
      </c>
      <c r="AB64" s="322">
        <f>VLOOKUP($C$51,$C$34:$G$41,5,FALSE)</f>
        <v>0</v>
      </c>
      <c r="AD64" s="331">
        <f>VLOOKUP($C$51,$J$34:$N$41,2,FALSE)</f>
        <v>0</v>
      </c>
      <c r="AE64" s="316">
        <f>VLOOKUP($C$51,$J$34:$N$41,3,FALSE)</f>
        <v>0</v>
      </c>
      <c r="AF64" s="316">
        <f>VLOOKUP($C$51,$J$34:$N$41,4,FALSE)</f>
        <v>0</v>
      </c>
      <c r="AG64" s="322">
        <f>VLOOKUP($C$51,$J$34:$N$41,5,FALSE)</f>
        <v>0</v>
      </c>
      <c r="AI64" s="331">
        <f>VLOOKUP($C$51,$Q$34:$U$41,2,FALSE)</f>
        <v>0</v>
      </c>
      <c r="AJ64" s="316">
        <f>VLOOKUP($C$51,$Q$34:$U$41,3,FALSE)</f>
        <v>0</v>
      </c>
      <c r="AK64" s="316">
        <f>VLOOKUP($C$51,$Q$34:$U$41,4,FALSE)</f>
        <v>0</v>
      </c>
      <c r="AL64" s="322">
        <f>VLOOKUP($C$51,$Q$34:$U$41,5,FALSE)</f>
        <v>0</v>
      </c>
      <c r="AN64" s="331">
        <f>VLOOKUP($C$51,$X$34:$AB$41,2,FALSE)</f>
        <v>0</v>
      </c>
      <c r="AO64" s="316">
        <f>VLOOKUP($C$51,$X$34:$AB$41,3,FALSE)</f>
        <v>0</v>
      </c>
      <c r="AP64" s="316">
        <f>VLOOKUP($C$51,$X$34:$AB$41,4,FALSE)</f>
        <v>0</v>
      </c>
      <c r="AQ64" s="322">
        <f>VLOOKUP($C$51,$X$34:$AB$41,5,FALSE)</f>
        <v>0</v>
      </c>
    </row>
    <row r="65" spans="2:43" x14ac:dyDescent="0.2">
      <c r="E65" s="331">
        <f t="shared" si="15"/>
        <v>0</v>
      </c>
      <c r="F65" s="316">
        <f t="shared" si="16"/>
        <v>0</v>
      </c>
      <c r="G65" s="316">
        <f t="shared" si="17"/>
        <v>0</v>
      </c>
      <c r="H65" s="322">
        <f t="shared" si="18"/>
        <v>0</v>
      </c>
      <c r="J65" s="331">
        <f t="shared" si="19"/>
        <v>0</v>
      </c>
      <c r="K65" s="316">
        <f t="shared" si="20"/>
        <v>0</v>
      </c>
      <c r="L65" s="316">
        <f t="shared" si="21"/>
        <v>0</v>
      </c>
      <c r="M65" s="322">
        <f t="shared" si="22"/>
        <v>0</v>
      </c>
      <c r="O65" s="331">
        <f t="shared" si="23"/>
        <v>0</v>
      </c>
      <c r="P65" s="316">
        <f t="shared" si="12"/>
        <v>0</v>
      </c>
      <c r="Q65" s="316">
        <f t="shared" si="13"/>
        <v>0</v>
      </c>
      <c r="R65" s="322">
        <f t="shared" si="14"/>
        <v>0</v>
      </c>
      <c r="T65" s="331">
        <f>VLOOKUP($C$52,$X$13:$AB$20,2,FALSE)</f>
        <v>0</v>
      </c>
      <c r="U65" s="316">
        <f>VLOOKUP($C$52,$X$13:$AB$20,3,FALSE)</f>
        <v>0</v>
      </c>
      <c r="V65" s="316">
        <f>VLOOKUP($C$52,$X$13:$AB$20,4,FALSE)</f>
        <v>0</v>
      </c>
      <c r="W65" s="322">
        <f>VLOOKUP($C$52,$X$13:$AB$20,5,FALSE)</f>
        <v>0</v>
      </c>
      <c r="Y65" s="331">
        <f>VLOOKUP($C$52,$C$34:$G$41,2,FALSE)</f>
        <v>0</v>
      </c>
      <c r="Z65" s="316">
        <f>VLOOKUP($C$52,$C$34:$G$41,3,FALSE)</f>
        <v>0</v>
      </c>
      <c r="AA65" s="316">
        <f>VLOOKUP($C$52,$C$34:$G$41,4,FALSE)</f>
        <v>0</v>
      </c>
      <c r="AB65" s="322">
        <f>VLOOKUP($C$52,$C$34:$G$41,5,FALSE)</f>
        <v>0</v>
      </c>
      <c r="AD65" s="331">
        <f>VLOOKUP($C$52,$J$34:$N$41,2,FALSE)</f>
        <v>0</v>
      </c>
      <c r="AE65" s="316">
        <f>VLOOKUP($C$52,$J$34:$N$41,3,FALSE)</f>
        <v>0</v>
      </c>
      <c r="AF65" s="316">
        <f>VLOOKUP($C$52,$J$34:$N$41,4,FALSE)</f>
        <v>0</v>
      </c>
      <c r="AG65" s="322">
        <f>VLOOKUP($C$52,$J$34:$N$41,5,FALSE)</f>
        <v>0</v>
      </c>
      <c r="AI65" s="331">
        <f>VLOOKUP($C$52,$Q$34:$U$41,2,FALSE)</f>
        <v>0</v>
      </c>
      <c r="AJ65" s="316">
        <f>VLOOKUP($C$52,$Q$34:$U$41,3,FALSE)</f>
        <v>0</v>
      </c>
      <c r="AK65" s="316">
        <f>VLOOKUP($C$52,$Q$34:$U$41,4,FALSE)</f>
        <v>0</v>
      </c>
      <c r="AL65" s="322">
        <f>VLOOKUP($C$52,$Q$34:$U$41,5,FALSE)</f>
        <v>0</v>
      </c>
      <c r="AN65" s="331">
        <f>VLOOKUP($C$52,$X$34:$AB$41,2,FALSE)</f>
        <v>0</v>
      </c>
      <c r="AO65" s="316">
        <f>VLOOKUP($C$52,$X$34:$AB$41,3,FALSE)</f>
        <v>0</v>
      </c>
      <c r="AP65" s="316">
        <f>VLOOKUP($C$52,$X$34:$AB$41,4,FALSE)</f>
        <v>0</v>
      </c>
      <c r="AQ65" s="322">
        <f>VLOOKUP($C$52,$X$34:$AB$41,5,FALSE)</f>
        <v>0</v>
      </c>
    </row>
    <row r="66" spans="2:43" x14ac:dyDescent="0.2">
      <c r="E66" s="331">
        <f t="shared" si="15"/>
        <v>0</v>
      </c>
      <c r="F66" s="316">
        <f t="shared" si="16"/>
        <v>0</v>
      </c>
      <c r="G66" s="316">
        <f t="shared" si="17"/>
        <v>0</v>
      </c>
      <c r="H66" s="322">
        <f t="shared" si="18"/>
        <v>0</v>
      </c>
      <c r="J66" s="331">
        <f t="shared" si="19"/>
        <v>0</v>
      </c>
      <c r="K66" s="316">
        <f t="shared" si="20"/>
        <v>0</v>
      </c>
      <c r="L66" s="316">
        <f t="shared" si="21"/>
        <v>0</v>
      </c>
      <c r="M66" s="322">
        <f t="shared" si="22"/>
        <v>0</v>
      </c>
      <c r="O66" s="331">
        <f t="shared" si="23"/>
        <v>0</v>
      </c>
      <c r="P66" s="316">
        <f t="shared" si="12"/>
        <v>0</v>
      </c>
      <c r="Q66" s="316">
        <f t="shared" si="13"/>
        <v>0</v>
      </c>
      <c r="R66" s="322">
        <f t="shared" si="14"/>
        <v>0</v>
      </c>
      <c r="T66" s="331">
        <f>VLOOKUP($C$53,$X$13:$AB$20,2,FALSE)</f>
        <v>0</v>
      </c>
      <c r="U66" s="316">
        <f>VLOOKUP($C$53,$X$13:$AB$20,3,FALSE)</f>
        <v>0</v>
      </c>
      <c r="V66" s="316">
        <f>VLOOKUP($C$53,$X$13:$AB$20,4,FALSE)</f>
        <v>0</v>
      </c>
      <c r="W66" s="322">
        <f>VLOOKUP($C$53,$X$13:$AB$20,5,FALSE)</f>
        <v>0</v>
      </c>
      <c r="Y66" s="331">
        <f>VLOOKUP($C$53,$C$34:$G$41,2,FALSE)</f>
        <v>0</v>
      </c>
      <c r="Z66" s="316">
        <f>VLOOKUP($C$53,$C$34:$G$41,3,FALSE)</f>
        <v>0</v>
      </c>
      <c r="AA66" s="316">
        <f>VLOOKUP($C$53,$C$34:$G$41,4,FALSE)</f>
        <v>0</v>
      </c>
      <c r="AB66" s="322">
        <f>VLOOKUP($C$53,$C$34:$G$41,5,FALSE)</f>
        <v>0</v>
      </c>
      <c r="AD66" s="331">
        <f>VLOOKUP($C$53,$J$34:$N$41,2,FALSE)</f>
        <v>0</v>
      </c>
      <c r="AE66" s="316">
        <f>VLOOKUP($C$53,$J$34:$N$41,3,FALSE)</f>
        <v>0</v>
      </c>
      <c r="AF66" s="316">
        <f>VLOOKUP($C$53,$J$34:$N$41,4,FALSE)</f>
        <v>0</v>
      </c>
      <c r="AG66" s="322">
        <f>VLOOKUP($C$53,$J$34:$N$41,5,FALSE)</f>
        <v>0</v>
      </c>
      <c r="AI66" s="331">
        <f>VLOOKUP($C$53,$Q$34:$U$41,2,FALSE)</f>
        <v>0</v>
      </c>
      <c r="AJ66" s="316">
        <f>VLOOKUP($C$53,$Q$34:$U$41,3,FALSE)</f>
        <v>0</v>
      </c>
      <c r="AK66" s="316">
        <f>VLOOKUP($C$53,$Q$34:$U$41,4,FALSE)</f>
        <v>0</v>
      </c>
      <c r="AL66" s="322">
        <f>VLOOKUP($C$53,$Q$34:$U$41,5,FALSE)</f>
        <v>0</v>
      </c>
      <c r="AN66" s="331">
        <f>VLOOKUP($C$53,$X$34:$AB$41,2,FALSE)</f>
        <v>0</v>
      </c>
      <c r="AO66" s="316">
        <f>VLOOKUP($C$53,$X$34:$AB$41,3,FALSE)</f>
        <v>0</v>
      </c>
      <c r="AP66" s="316">
        <f>VLOOKUP($C$53,$X$34:$AB$41,4,FALSE)</f>
        <v>0</v>
      </c>
      <c r="AQ66" s="322">
        <f>VLOOKUP($C$53,$X$34:$AB$41,5,FALSE)</f>
        <v>0</v>
      </c>
    </row>
    <row r="67" spans="2:43" ht="13.5" thickBot="1" x14ac:dyDescent="0.25">
      <c r="E67" s="332">
        <f t="shared" si="15"/>
        <v>0</v>
      </c>
      <c r="F67" s="323">
        <f t="shared" si="16"/>
        <v>0</v>
      </c>
      <c r="G67" s="323">
        <f t="shared" si="17"/>
        <v>0</v>
      </c>
      <c r="H67" s="324">
        <f t="shared" si="18"/>
        <v>0</v>
      </c>
      <c r="J67" s="332">
        <f t="shared" si="19"/>
        <v>0</v>
      </c>
      <c r="K67" s="323">
        <f t="shared" si="20"/>
        <v>0</v>
      </c>
      <c r="L67" s="323">
        <f t="shared" si="21"/>
        <v>0</v>
      </c>
      <c r="M67" s="324">
        <f t="shared" si="22"/>
        <v>0</v>
      </c>
      <c r="O67" s="332">
        <f t="shared" si="23"/>
        <v>0</v>
      </c>
      <c r="P67" s="323">
        <f t="shared" si="12"/>
        <v>0</v>
      </c>
      <c r="Q67" s="323">
        <f t="shared" si="13"/>
        <v>0</v>
      </c>
      <c r="R67" s="324">
        <f t="shared" si="14"/>
        <v>0</v>
      </c>
      <c r="T67" s="332">
        <f>VLOOKUP($C$54,$X$13:$AB$20,2,FALSE)</f>
        <v>0</v>
      </c>
      <c r="U67" s="323">
        <f>VLOOKUP($C$54,$X$13:$AB$20,3,FALSE)</f>
        <v>0</v>
      </c>
      <c r="V67" s="323">
        <f>VLOOKUP($C$54,$X$13:$AB$20,4,FALSE)</f>
        <v>0</v>
      </c>
      <c r="W67" s="324">
        <f>VLOOKUP($C$54,$X$13:$AB$20,5,FALSE)</f>
        <v>0</v>
      </c>
      <c r="Y67" s="332">
        <f>VLOOKUP($C$54,$C$34:$G$41,2,FALSE)</f>
        <v>0</v>
      </c>
      <c r="Z67" s="323">
        <f>VLOOKUP($C$54,$C$34:$G$41,3,FALSE)</f>
        <v>0</v>
      </c>
      <c r="AA67" s="323">
        <f>VLOOKUP($C$54,$C$34:$G$41,4,FALSE)</f>
        <v>0</v>
      </c>
      <c r="AB67" s="324">
        <f>VLOOKUP($C$54,$C$34:$G$41,5,FALSE)</f>
        <v>0</v>
      </c>
      <c r="AD67" s="332">
        <f>VLOOKUP($C$54,$J$34:$N$41,2,FALSE)</f>
        <v>0</v>
      </c>
      <c r="AE67" s="323">
        <f>VLOOKUP($C$54,$J$34:$N$41,3,FALSE)</f>
        <v>0</v>
      </c>
      <c r="AF67" s="323">
        <f>VLOOKUP($C$54,$J$34:$N$41,4,FALSE)</f>
        <v>0</v>
      </c>
      <c r="AG67" s="324">
        <f>VLOOKUP($C$54,$J$34:$N$41,5,FALSE)</f>
        <v>0</v>
      </c>
      <c r="AI67" s="332">
        <f>VLOOKUP($C$54,$Q$34:$U$41,2,FALSE)</f>
        <v>0</v>
      </c>
      <c r="AJ67" s="323">
        <f>VLOOKUP($C$54,$Q$34:$U$41,3,FALSE)</f>
        <v>0</v>
      </c>
      <c r="AK67" s="323">
        <f>VLOOKUP($C$54,$Q$34:$U$41,4,FALSE)</f>
        <v>0</v>
      </c>
      <c r="AL67" s="324">
        <f>VLOOKUP($C$54,$Q$34:$U$41,5,FALSE)</f>
        <v>0</v>
      </c>
      <c r="AN67" s="332">
        <f>VLOOKUP($C$54,$X$34:$AB$41,2,FALSE)</f>
        <v>0</v>
      </c>
      <c r="AO67" s="323">
        <f>VLOOKUP($C$54,$X$34:$AB$41,3,FALSE)</f>
        <v>0</v>
      </c>
      <c r="AP67" s="323">
        <f>VLOOKUP($C$54,$X$34:$AB$41,4,FALSE)</f>
        <v>0</v>
      </c>
      <c r="AQ67" s="324">
        <f>VLOOKUP($C$54,$X$34:$AB$41,5,FALSE)</f>
        <v>0</v>
      </c>
    </row>
    <row r="69" spans="2:43" ht="13.5" thickBot="1" x14ac:dyDescent="0.25"/>
    <row r="70" spans="2:43" ht="13.5" thickBot="1" x14ac:dyDescent="0.25">
      <c r="B70" s="614" t="s">
        <v>521</v>
      </c>
      <c r="C70" s="615"/>
      <c r="D70" s="615"/>
      <c r="E70" s="615"/>
      <c r="F70" s="615"/>
      <c r="G70" s="615"/>
      <c r="H70" s="615"/>
      <c r="I70" s="615"/>
      <c r="J70" s="615"/>
      <c r="K70" s="615"/>
      <c r="L70" s="616"/>
      <c r="N70" s="620" t="s">
        <v>520</v>
      </c>
      <c r="O70" s="621"/>
      <c r="P70" s="621"/>
      <c r="Q70" s="621"/>
      <c r="R70" s="622"/>
      <c r="S70" s="608" t="s">
        <v>465</v>
      </c>
      <c r="T70" s="609"/>
      <c r="U70" s="609"/>
      <c r="V70" s="610"/>
      <c r="W70" s="608" t="s">
        <v>466</v>
      </c>
      <c r="X70" s="609"/>
      <c r="Y70" s="609"/>
      <c r="Z70" s="610"/>
    </row>
    <row r="71" spans="2:43" ht="13.5" thickBot="1" x14ac:dyDescent="0.25">
      <c r="B71" s="617"/>
      <c r="C71" s="618"/>
      <c r="D71" s="618"/>
      <c r="E71" s="618"/>
      <c r="F71" s="618"/>
      <c r="G71" s="618"/>
      <c r="H71" s="618"/>
      <c r="I71" s="618"/>
      <c r="J71" s="618"/>
      <c r="K71" s="618"/>
      <c r="L71" s="619"/>
      <c r="N71" s="623"/>
      <c r="O71" s="624"/>
      <c r="P71" s="624"/>
      <c r="Q71" s="624"/>
      <c r="R71" s="625"/>
      <c r="S71" s="349" t="s">
        <v>461</v>
      </c>
      <c r="T71" s="328" t="s">
        <v>462</v>
      </c>
      <c r="U71" s="328" t="s">
        <v>463</v>
      </c>
      <c r="V71" s="329" t="s">
        <v>464</v>
      </c>
      <c r="W71" s="349" t="s">
        <v>461</v>
      </c>
      <c r="X71" s="328" t="s">
        <v>462</v>
      </c>
      <c r="Y71" s="328" t="s">
        <v>463</v>
      </c>
      <c r="Z71" s="329" t="s">
        <v>464</v>
      </c>
    </row>
    <row r="72" spans="2:43" ht="13.5" thickBot="1" x14ac:dyDescent="0.25">
      <c r="B72" s="340"/>
      <c r="C72" s="341"/>
      <c r="D72" s="338" t="s">
        <v>475</v>
      </c>
      <c r="E72" s="338" t="s">
        <v>476</v>
      </c>
      <c r="F72" s="338" t="s">
        <v>477</v>
      </c>
      <c r="G72" s="338" t="s">
        <v>478</v>
      </c>
      <c r="H72" s="338" t="s">
        <v>479</v>
      </c>
      <c r="I72" s="338" t="s">
        <v>480</v>
      </c>
      <c r="J72" s="338" t="s">
        <v>481</v>
      </c>
      <c r="K72" s="338" t="s">
        <v>482</v>
      </c>
      <c r="L72" s="339" t="s">
        <v>483</v>
      </c>
      <c r="N72" s="345" t="str">
        <f>IF(OR($R$72=80,$R$72=85),"B8",IF(OR($R$72=94,$R$72=95),"B9","N/A"))</f>
        <v>N/A</v>
      </c>
      <c r="O72" s="346" t="str">
        <f>IF(OR($R$72=10,$R$72=14,$R$72=15),"B1",IF(OR($R$72=20,$R$72=22,$R$72=24,$R$72=25),"B2",IF(OR($R$72=34,$R$72=35),"B3",IF(OR($R$72=40,$R$72=44,$R$72=45),"B4",IF(OR($R$72=50,$R$72=55),"B5",IF(OR($R$72=60,$R$72=64,$R$72=65),"B6",IF(OR($R$72=75),"B7","N/A")))))))</f>
        <v>N/A</v>
      </c>
      <c r="P72" s="347" t="s">
        <v>455</v>
      </c>
      <c r="Q72" s="346" t="str">
        <f>IF($O$72="N/A",$N$72,$O$72)</f>
        <v>N/A</v>
      </c>
      <c r="R72" s="357">
        <f>IF(ISERROR(VLOOKUP(C_Engine_Rating S_take_off1, enum_list!$A$2:$F$102,1,1)),"N/A",VLOOKUP(C_Engine_Rating S_take_off1, enum_list!$A$2:$F$102,1,1))</f>
        <v>0</v>
      </c>
      <c r="S72" s="330">
        <f>IF($Q$72="B1",E46,IF($Q$72="B2",J46,IF($Q$72="B3",O46,IF($Q$72="B4",T46,IF($Q$72="B5",Y46,IF($Q$72="B6",AD46,IF($Q$72="B7",T46,IF($Q$72="B8",AI46,AN46))))))))</f>
        <v>0</v>
      </c>
      <c r="T72" s="320">
        <f>IF($Q$72="B1",F46,IF($Q$72="B2",K46,IF($Q$72="B3",P46,IF($Q$72="B4",U46,IF($Q$72="B5",Z46,IF($Q$72="B6",AE46,IF($Q$72="B7",U46,IF($Q$72="B8",AJ46,AO46))))))))</f>
        <v>0</v>
      </c>
      <c r="U72" s="320">
        <f>IF($Q$72="B1",G46,IF($Q$72="B2",L46,IF($Q$72="B3",Q46,IF($Q$72="B4",V46,IF($Q$72="B5",AA46,IF($Q$72="B6",AF46,IF($Q$72="B7",V46,IF($Q$72="B8",AK46,AP46))))))))</f>
        <v>0</v>
      </c>
      <c r="V72" s="360">
        <f>IF($Q$72="B1",H46,IF($Q$72="B2",M46,IF($Q$72="B3",R46,IF($Q$72="B4",W46,IF($Q$72="B5",AB46,IF($Q$72="B6",AG46,IF($Q$72="B7",W46,IF($Q$72="B8",AL46,AQ46))))))))</f>
        <v>0</v>
      </c>
      <c r="W72" s="330">
        <f>IF($Q$72="B1",E59,IF($Q$72="B2",J59,IF($Q$72="B3",O59,IF($Q$72="B4",T59,IF($Q$72="B5",Y59,IF($Q$72="B6",AD59,IF($Q$72="B7",T59,IF($Q$72="B8",AI59,AN59))))))))</f>
        <v>0</v>
      </c>
      <c r="X72" s="320">
        <f>IF($Q$72="B1",F59,IF($Q$72="B2",K59,IF($Q$72="B3",P59,IF($Q$72="B4",U59,IF($Q$72="B5",Z59,IF($Q$72="B6",AE59,IF($Q$72="B7",U59,IF($Q$72="B8",AJ59,AO59))))))))</f>
        <v>0</v>
      </c>
      <c r="Y72" s="320">
        <f>IF($Q$72="B1",G59,IF($Q$72="B2",L59,IF($Q$72="B3",Q59,IF($Q$72="B4",V59,IF($Q$72="B5",AA59,IF($Q$72="B6",AF59,IF($Q$72="B7",V59,IF($Q$72="B8",AK59,AP59))))))))</f>
        <v>0</v>
      </c>
      <c r="Z72" s="321">
        <f>IF($Q$72="B1",H59,IF($Q$72="B2",M59,IF($Q$72="B3",R59,IF($Q$72="B4",W59,IF($Q$72="B5",AB59,IF($Q$72="B6",AG59,IF($Q$72="B7",W59,IF($Q$72="B8",AL59,AQ59))))))))</f>
        <v>0</v>
      </c>
    </row>
    <row r="73" spans="2:43" x14ac:dyDescent="0.2">
      <c r="B73" s="626" t="s">
        <v>465</v>
      </c>
      <c r="C73" s="370" t="s">
        <v>18</v>
      </c>
      <c r="D73" s="342">
        <f>IF(ISERROR((C_FNK S_take_off1)-$S$72),"N/A",((C_FNK S_take_off1)-$S$72))</f>
        <v>0</v>
      </c>
      <c r="E73" s="342">
        <f>IF(ISERROR((C_FNK S_take_off2)-$S$73),"N/A",((C_FNK S_take_off2)-$S$73))</f>
        <v>0</v>
      </c>
      <c r="F73" s="342">
        <f>IF(ISERROR((C_FNK S_take_off3)-$S$74),"N/A",((C_FNK S_take_off3)-$S$74))</f>
        <v>0</v>
      </c>
      <c r="G73" s="342">
        <f>IF(ISERROR((C_FNK S_take_off4)-$S$75),"N/A",((C_FNK S_take_off4)-$S$75))</f>
        <v>0</v>
      </c>
      <c r="H73" s="342">
        <f>IF(ISERROR((C_FNK S_take_off5)-$S$76),"N/A",((C_FNK S_take_off5)-$S$76))</f>
        <v>0</v>
      </c>
      <c r="I73" s="342" t="str">
        <f>IF(ISERROR((C_FNK S_take_off6)-$S$77),"N/A",((C_FNK S_take_off6)-$S$77))</f>
        <v>N/A</v>
      </c>
      <c r="J73" s="342" t="str">
        <f>IF(ISERROR((C_FNK S_take_off7)-$T$77),"N/A",((C_FNK S_take_off7)-$T$77))</f>
        <v>N/A</v>
      </c>
      <c r="K73" s="342" t="str">
        <f>IF(ISERROR((C_FNK S_take_off8)-$S$79),"N/A",((C_FNK S_take_off8)-$S$79))</f>
        <v>N/A</v>
      </c>
      <c r="L73" s="367" t="str">
        <f>IF(ISERROR((C_FNK S_take_off9)-$S$80),"N/A",((C_FNK S_take_off9)-$S$80))</f>
        <v>N/A</v>
      </c>
      <c r="N73" s="351" t="str">
        <f>IF(OR($R$73=80,$R$73=85),"B8",IF(OR($R$73=94,$R$73=95),"B9","N/A"))</f>
        <v>N/A</v>
      </c>
      <c r="O73" s="350" t="str">
        <f>IF(OR($R$73=10,$R$73=14,$R$73=15),"B1",IF(OR($R$73=20,$R$73=22,$R$73=24,$R$73=25),"B2",IF(OR($R$73=34,$R$73=35),"B3",IF(OR($R$73=40,$R$73=44,$R$73=45),"B4",IF(OR($R$73=50,$R$73=55),"B5",IF(OR($R$73=60,$R$73=64,$R$73=65),"B6",IF(OR($R$73=75),"B7","N/A")))))))</f>
        <v>N/A</v>
      </c>
      <c r="P73" s="162" t="s">
        <v>447</v>
      </c>
      <c r="Q73" s="350" t="str">
        <f>IF($O$73="N/A",$N$73,$O$73)</f>
        <v>N/A</v>
      </c>
      <c r="R73" s="358">
        <f>IF(ISERROR(VLOOKUP(C_Engine_Rating S_take_off2, enum_list!$A$2:$F$102,1,1)),"N/A",VLOOKUP(C_Engine_Rating S_take_off2, enum_list!$A$2:$F$102,1,1))</f>
        <v>0</v>
      </c>
      <c r="S73" s="331">
        <f>IF($Q$73="B1",E47,IF($Q$73="B2",J47,IF($Q$73="B3",O47,IF($Q$73="B4",T47,IF($Q$73="B5",Y47,IF($Q$73="B6",AD47,IF($Q$73="B7",T47,IF($Q$73="B8",AI47,AN47))))))))</f>
        <v>0</v>
      </c>
      <c r="T73" s="316">
        <f>IF($Q$73="B1",F47,IF($Q$73="B2",K47,IF($Q$73="B3",P47,IF($Q$73="B4",U47,IF($Q$73="B5",Z47,IF($Q$73="B6",AE47,IF($Q$73="B7",U47,IF($Q$73="B8",AJ47,AO47))))))))</f>
        <v>0</v>
      </c>
      <c r="U73" s="316">
        <f>IF($Q$73="B1",G47,IF($Q$73="B2",L47,IF($Q$73="B3",Q47,IF($Q$73="B4",V47,IF($Q$73="B5",AA47,IF($Q$73="B6",AF47,IF($Q$73="B7",V47,IF($Q$73="B8",AK47,AP47))))))))</f>
        <v>0</v>
      </c>
      <c r="V73" s="361">
        <f>IF($Q$73="B1",H47,IF($Q$73="B2",M47,IF($Q$73="B3",R47,IF($Q$73="B4",W47,IF($Q$73="B5",AB47,IF($Q$73="B6",AG47,IF($Q$73="B7",W47,IF($Q$73="B8",AL47,AQ47))))))))</f>
        <v>0</v>
      </c>
      <c r="W73" s="331">
        <f>IF($Q$73="B1",E60,IF($Q$73="B2",J60,IF($Q$73="B3",O60,IF($Q$73="B4",T60,IF($Q$73="B5",Y60,IF($Q$73="B6",AD60,IF($Q$73="B7",T60,IF($Q$73="B8",AI60,AN60))))))))</f>
        <v>0</v>
      </c>
      <c r="X73" s="316">
        <f>IF($Q$73="B1",F60,IF($Q$73="B2",K60,IF($Q$73="B3",P60,IF($Q$73="B4",U60,IF($Q$73="B5",Z60,IF($Q$73="B6",AE60,IF($Q$73="B7",U60,IF($Q$73="B8",AJ60,AO60))))))))</f>
        <v>0</v>
      </c>
      <c r="Y73" s="316">
        <f>IF($Q$73="B1",G60,IF($Q$73="B2",L60,IF($Q$73="B3",Q60,IF($Q$73="B4",V60,IF($Q$73="B5",AA60,IF($Q$73="B6",AF60,IF($Q$73="B7",V60,IF($Q$73="B8",AK60,AP60))))))))</f>
        <v>0</v>
      </c>
      <c r="Z73" s="322">
        <f>IF($Q$73="B1",H60,IF($Q$73="B2",M60,IF($Q$73="B3",R60,IF($Q$73="B4",W60,IF($Q$73="B5",AB60,IF($Q$73="B6",AG60,IF($Q$73="B7",W60,IF($Q$73="B8",AL60,AQ60))))))))</f>
        <v>0</v>
      </c>
    </row>
    <row r="74" spans="2:43" x14ac:dyDescent="0.2">
      <c r="B74" s="627"/>
      <c r="C74" s="371" t="s">
        <v>142</v>
      </c>
      <c r="D74" s="342">
        <f>IF(ISERROR((C_EGTK S_take_off1)-$T$72),"N/A",((C_EGTK S_take_off1)-$T$72))</f>
        <v>0</v>
      </c>
      <c r="E74" s="342">
        <f>IF(ISERROR((C_EGTK S_take_off2)-$T$73),"N/A",((C_EGTK S_take_off2)-$T$73))</f>
        <v>0</v>
      </c>
      <c r="F74" s="342">
        <f>IF(ISERROR((C_EGTK S_take_off3)-$T$74),"N/A",((C_EGTK S_take_off3)-$T$74))</f>
        <v>0</v>
      </c>
      <c r="G74" s="342">
        <f>IF(ISERROR((C_EGTK S_take_off4)-$T$75),"N/A",((C_EGTK S_take_off4)-$T$75))</f>
        <v>0</v>
      </c>
      <c r="H74" s="342">
        <f>IF(ISERROR((C_EGTK S_take_off5)-$T$76),"N/A",((C_EGTK S_take_off5)-$T$76))</f>
        <v>0</v>
      </c>
      <c r="I74" s="342" t="str">
        <f>IF(ISERROR((C_EGTK S_take_off6)-$T$77),"N/A",((C_EGTK S_take_off6)-$T$77))</f>
        <v>N/A</v>
      </c>
      <c r="J74" s="342" t="str">
        <f>IF(ISERROR((C_EGTK S_take_off7)-$T$78),"N/A",((C_EGTK S_take_off7)-$T$78))</f>
        <v>N/A</v>
      </c>
      <c r="K74" s="342" t="str">
        <f>IF(ISERROR((C_EGTK S_take_off8)-$T$79),"N/A",((C_EGTK S_take_off8)-$T$79))</f>
        <v>N/A</v>
      </c>
      <c r="L74" s="367" t="str">
        <f>IF(ISERROR((C_EGTK S_take_off9)-$S$80),"N/A",((C_EGTK S_take_off9)-$S$80))</f>
        <v>N/A</v>
      </c>
      <c r="N74" s="351" t="str">
        <f>IF(OR($R$74=80,$R$74=85),"B8",IF(OR($R$74=94,$R$74=95),"B9","N/A"))</f>
        <v>N/A</v>
      </c>
      <c r="O74" s="350" t="str">
        <f>IF(OR($R$74=10,$R$74=14,$R$74=15),"B1",IF(OR($R$74=20,$R$74=22,$R$74=24,$R$74=25),"B2",IF(OR($R$74=34,$R$74=35),"B3",IF(OR($R$74=40,$R$74=44,$R$74=45),"B4",IF(OR($R$74=50,$R$74=55),"B5",IF(OR($R$74=60,$R$74=64,$R$74=65),"B6",IF(OR($R$74=75),"B7","N/A")))))))</f>
        <v>N/A</v>
      </c>
      <c r="P74" s="162" t="s">
        <v>448</v>
      </c>
      <c r="Q74" s="350" t="str">
        <f>IF($O$74="N/A",$N$74,$O$74)</f>
        <v>N/A</v>
      </c>
      <c r="R74" s="358">
        <f>IF(ISERROR(VLOOKUP(C_Engine_Rating S_take_off3, enum_list!$A$2:$F$102,1,1)),"N/A",VLOOKUP(C_Engine_Rating S_take_off3, enum_list!$A$2:$F$102,1,1))</f>
        <v>0</v>
      </c>
      <c r="S74" s="331">
        <f>IF($Q$74="B1",E48,IF($Q$74="B2",J48,IF($Q$74="B3",O48,IF($Q$74="B4",T48,IF($Q$74="B5",Y48,IF($Q$74="B6",AD48,IF($Q$74="B7",T48,IF($Q$74="B8",AI48,AN48))))))))</f>
        <v>0</v>
      </c>
      <c r="T74" s="316">
        <f>IF($Q$74="B1",F48,IF($Q$74="B2",K48,IF($Q$74="B3",P48,IF($Q$74="B4",U48,IF($Q$74="B5",Z48,IF($Q$74="B6",AE48,IF($Q$74="B7",U48,IF($Q$74="B8",AJ48,AO48))))))))</f>
        <v>0</v>
      </c>
      <c r="U74" s="316">
        <f>IF($Q$74="B1",G48,IF($Q$74="B2",L48,IF($Q$74="B3",Q48,IF($Q$74="B4",V48,IF($Q$74="B5",AA48,IF($Q$74="B6",AF48,IF($Q$74="B7",V48,IF($Q$74="B8",AK48,AP48))))))))</f>
        <v>0</v>
      </c>
      <c r="V74" s="361">
        <f>IF($Q$74="B1",H48,IF($Q$74="B2",M48,IF($Q$74="B3",R48,IF($Q$74="B4",W48,IF($Q$74="B5",AB48,IF($Q$74="B6",AG48,IF($Q$74="B7",W48,IF($Q$74="B8",AL48,AQ48))))))))</f>
        <v>0</v>
      </c>
      <c r="W74" s="331">
        <f>IF($Q$74="B1",E61,IF($Q$74="B2",J61,IF($Q$74="B3",O61,IF($Q$74="B4",T61,IF($Q$74="B5",Y61,IF($Q$74="B6",AD61,IF($Q$74="B7",T61,IF($Q$74="B8",AI61,AN61))))))))</f>
        <v>0</v>
      </c>
      <c r="X74" s="316">
        <f>IF($Q$74="B1",F61,IF($Q$74="B2",K61,IF($Q$74="B3",P61,IF($Q$74="B4",U61,IF($Q$74="B5",Z61,IF($Q$74="B6",AE61,IF($Q$74="B7",U61,IF($Q$74="B8",AJ61,AO61))))))))</f>
        <v>0</v>
      </c>
      <c r="Y74" s="316">
        <f>IF($Q$74="B1",G61,IF($Q$74="B2",L61,IF($Q$74="B3",Q61,IF($Q$74="B4",V61,IF($Q$74="B5",AA61,IF($Q$74="B6",AF61,IF($Q$74="B7",V61,IF($Q$74="B8",AK61,AP61))))))))</f>
        <v>0</v>
      </c>
      <c r="Z74" s="322">
        <f>IF($Q$74="B1",H61,IF($Q$74="B2",M61,IF($Q$74="B3",R61,IF($Q$74="B4",W61,IF($Q$74="B5",AB61,IF($Q$74="B6",AG61,IF($Q$74="B7",W61,IF($Q$74="B8",AL61,AQ61))))))))</f>
        <v>0</v>
      </c>
    </row>
    <row r="75" spans="2:43" x14ac:dyDescent="0.2">
      <c r="B75" s="627"/>
      <c r="C75" s="371" t="s">
        <v>36</v>
      </c>
      <c r="D75" s="342">
        <f>IF(ISERROR((C_N2K S_take_off1)-$U$72),"N/A",((C_N2K S_take_off1)-$U$72))</f>
        <v>0</v>
      </c>
      <c r="E75" s="342">
        <f>IF(ISERROR((C_N2K S_take_off2)-$U$73),"N/A",((C_N2K S_take_off2)-$U$73))</f>
        <v>0</v>
      </c>
      <c r="F75" s="342">
        <f>IF(ISERROR((C_N2K S_take_off3)-$U$74),"N/A",((C_N2K S_take_off3)-$U$74))</f>
        <v>0</v>
      </c>
      <c r="G75" s="342">
        <f>IF(ISERROR((C_N2K S_take_off4)-$U$75),"N/A",((C_N2K S_take_off4)-$U$75))</f>
        <v>0</v>
      </c>
      <c r="H75" s="342">
        <f>IF(ISERROR((C_N2K S_take_off5)-$U$76),"N/A",((C_N2K S_take_off5)-$U$76))</f>
        <v>0</v>
      </c>
      <c r="I75" s="342" t="str">
        <f>IF(ISERROR((C_N2K S_take_off6)-$U$77),"N/A",((C_N2K S_take_off6)-$U$77))</f>
        <v>N/A</v>
      </c>
      <c r="J75" s="342" t="str">
        <f>IF(ISERROR((C_N2K S_take_off7)-$U$78),"N/A",((C_N2K S_take_off7)-$U$78))</f>
        <v>N/A</v>
      </c>
      <c r="K75" s="342" t="str">
        <f>IF(ISERROR((C_N2K S_take_off8)-$U$79),"N/A",((C_N2K S_take_off8)-$U$79))</f>
        <v>N/A</v>
      </c>
      <c r="L75" s="367" t="str">
        <f>IF(ISERROR((C_N2K S_take_off9)-$U$80),"N/A",((C_N2K S_take_off9)-$U$80))</f>
        <v>N/A</v>
      </c>
      <c r="N75" s="351" t="str">
        <f>IF(OR($R$75=80,$R$75=85),"B8",IF(OR($R$75=94,$R$75=95),"B9","N/A"))</f>
        <v>N/A</v>
      </c>
      <c r="O75" s="350" t="str">
        <f>IF(OR($R$75=10,$R$75=14,$R$75=15),"B1",IF(OR($R$75=20,$R$75=22,$R$75=24,$R$75=25),"B2",IF(OR($R$75=34,$R$75=35),"B3",IF(OR($R$75=40,$R$75=44,$R$75=45),"B4",IF(OR($R$75=50,$R$75=55),"B5",IF(OR($R$75=60,$R$75=64,$R$75=65),"B6",IF(OR($R$75=75),"B7","N/A")))))))</f>
        <v>N/A</v>
      </c>
      <c r="P75" s="162" t="s">
        <v>449</v>
      </c>
      <c r="Q75" s="350" t="str">
        <f>IF($O$75="N/A",$N$75,$O$75)</f>
        <v>N/A</v>
      </c>
      <c r="R75" s="358">
        <f>IF(ISERROR(VLOOKUP(C_Engine_Rating S_take_off4, enum_list!$A$2:$F$102,1,1)),"N/A",VLOOKUP(C_Engine_Rating S_take_off4, enum_list!$A$2:$F$102,1,1))</f>
        <v>0</v>
      </c>
      <c r="S75" s="331">
        <f>IF($Q$75="B1",E49,IF($Q$75="B2",J49,IF($Q$75="B3",O49,IF($Q$75="B4",T49,IF($Q$75="B5",Y49,IF($Q$75="B6",AD49,IF($Q$75="B7",T49,IF($Q$75="B8",AI49,AN49))))))))</f>
        <v>0</v>
      </c>
      <c r="T75" s="316">
        <f>IF($Q$75="B1",F49,IF($Q$75="B2",K49,IF($Q$75="B3",P49,IF($Q$75="B4",U49,IF($Q$75="B5",Z49,IF($Q$75="B6",AE49,IF($Q$75="B7",U49,IF($Q$75="B8",AJ49,AO49))))))))</f>
        <v>0</v>
      </c>
      <c r="U75" s="316">
        <f>IF($Q$75="B1",G49,IF($Q$75="B2",L49,IF($Q$75="B3",Q49,IF($Q$75="B4",V49,IF($Q$75="B5",AA49,IF($Q$75="B6",AF49,IF($Q$75="B7",V49,IF($Q$75="B8",AK49,AP49))))))))</f>
        <v>0</v>
      </c>
      <c r="V75" s="361">
        <f>IF($Q$75="B1",H49,IF($Q$75="B2",M49,IF($Q$75="B3",R49,IF($Q$75="B4",W49,IF($Q$75="B5",AB49,IF($Q$75="B6",AG49,IF($Q$75="B7",W49,IF($Q$75="B8",AL49,AQ49))))))))</f>
        <v>0</v>
      </c>
      <c r="W75" s="331">
        <f>IF($Q$75="B1",E62,IF($Q$75="B2",J62,IF($Q$75="B3",O62,IF($Q$75="B4",T62,IF($Q$75="B5",Y62,IF($Q$75="B6",AD62,IF($Q$75="B7",T62,IF($Q$75="B8",AI62,AN62))))))))</f>
        <v>0</v>
      </c>
      <c r="X75" s="316">
        <f>IF($Q$75="B1",F62,IF($Q$75="B2",K62,IF($Q$75="B3",P62,IF($Q$75="B4",U62,IF($Q$75="B5",Z62,IF($Q$75="B6",AE62,IF($Q$75="B7",U62,IF($Q$75="B8",AJ62,AO62))))))))</f>
        <v>0</v>
      </c>
      <c r="Y75" s="316">
        <f>IF($Q$75="B1",G62,IF($Q$75="B2",L62,IF($Q$75="B3",Q62,IF($Q$75="B4",V62,IF($Q$75="B5",AA62,IF($Q$75="B6",AF62,IF($Q$75="B7",V62,IF($Q$75="B8",AK62,AP62))))))))</f>
        <v>0</v>
      </c>
      <c r="Z75" s="322">
        <f>IF($Q$75="B1",H62,IF($Q$75="B2",M62,IF($Q$75="B3",R62,IF($Q$75="B4",W62,IF($Q$75="B5",AB62,IF($Q$75="B6",AG62,IF($Q$75="B7",W62,IF($Q$75="B8",AL62,AQ62))))))))</f>
        <v>0</v>
      </c>
    </row>
    <row r="76" spans="2:43" ht="13.5" thickBot="1" x14ac:dyDescent="0.25">
      <c r="B76" s="628"/>
      <c r="C76" s="371" t="s">
        <v>486</v>
      </c>
      <c r="D76" s="342">
        <f>IF(ISERROR((C_N1REF_TO S_take_off1)-$V$72),"N/A",((C_N1REF_TO S_take_off1)-$V$72))</f>
        <v>0</v>
      </c>
      <c r="E76" s="342">
        <f>IF(ISERROR((C_N1REF_TO S_take_off2)-$V$73),"N/A",((C_N1REF_TO S_take_off2)-$V$73))</f>
        <v>0</v>
      </c>
      <c r="F76" s="342">
        <f>IF(ISERROR((C_N1REF_TO S_take_off3)-$V$74),"N/A",((C_N1REF_TO S_take_off3)-$V$74))</f>
        <v>0</v>
      </c>
      <c r="G76" s="342">
        <f>IF(ISERROR((C_N1REF_TO S_take_off4)-$V$75),"N/A",((C_N1REF_TO S_take_off4)-$V$75))</f>
        <v>0</v>
      </c>
      <c r="H76" s="342">
        <f>IF(ISERROR((C_N1REF_TO S_take_off5)-$V$76),"N/A",((C_N1REF_TO S_take_off5)-$V$76))</f>
        <v>0</v>
      </c>
      <c r="I76" s="342" t="str">
        <f>IF(ISERROR((C_N1REF_TO S_take_off6)-$V$77),"N/A",((C_N1REF_TO S_take_off6)-$V$77))</f>
        <v>N/A</v>
      </c>
      <c r="J76" s="342" t="str">
        <f>IF(ISERROR((C_N1REF_TO S_take_off7)-$V$78),"N/A",((C_N1REF_TO S_take_off7)-$V$78))</f>
        <v>N/A</v>
      </c>
      <c r="K76" s="342" t="str">
        <f>IF(ISERROR((C_N1REF_TO S_take_off8)-$V$79),"N/A",((C_N1REF_TO S_take_off8)-$V$79))</f>
        <v>N/A</v>
      </c>
      <c r="L76" s="367" t="str">
        <f>IF(ISERROR((C_N1REF_TO S_take_off9)-$V$80),"N/A",((C_N1REF_TO S_take_off9)-$V$80))</f>
        <v>N/A</v>
      </c>
      <c r="N76" s="351" t="str">
        <f>IF(OR($R$76=80,$R$76=85),"B8",IF(OR($R$76=94,$R$76=95),"B9","N/A"))</f>
        <v>N/A</v>
      </c>
      <c r="O76" s="350" t="str">
        <f>IF(OR($R$76=10,$R$76=14,$R$76=15),"B1",IF(OR($R$76=20,$R$76=22,$R$76=24,$R$76=25),"B2",IF(OR($R$76=34,$R$76=35),"B3",IF(OR($R$76=40,$R$76=44,$R$76=45),"B4",IF(OR($R$76=50,$R$76=55),"B5",IF(OR($R$76=60,$R$76=64,$R$76=65),"B6",IF(OR($R$76=75),"B7","N/A")))))))</f>
        <v>N/A</v>
      </c>
      <c r="P76" s="162" t="s">
        <v>450</v>
      </c>
      <c r="Q76" s="350" t="str">
        <f>IF($O$76="N/A",$N$76,$O$76)</f>
        <v>N/A</v>
      </c>
      <c r="R76" s="358">
        <f>IF(ISERROR(VLOOKUP(C_Engine_Rating S_take_off5, enum_list!$A$2:$F$102,1,1)),"N/A",VLOOKUP(C_Engine_Rating S_take_off5, enum_list!$A$2:$F$102,1,1))</f>
        <v>0</v>
      </c>
      <c r="S76" s="331">
        <f>IF($Q$76="B1",E50,IF($Q$76="B2",J50,IF($Q$76="B3",O50,IF($Q$76="B4",T50,IF($Q$76="B5",Y50,IF($Q$76="B6",AD50,IF($Q$76="B7",T50,IF($Q$76="B8",AI50,AN50))))))))</f>
        <v>0</v>
      </c>
      <c r="T76" s="316">
        <f>IF($Q$76="B1",F50,IF($Q$76="B2",K50,IF($Q$76="B3",P50,IF($Q$76="B4",U50,IF($Q$76="B5",Z50,IF($Q$76="B6",AE50,IF($Q$76="B7",U50,IF($Q$76="B8",AJ50,AO50))))))))</f>
        <v>0</v>
      </c>
      <c r="U76" s="316">
        <f>IF($Q$76="B1",G50,IF($Q$76="B2",L50,IF($Q$76="B3",Q50,IF($Q$76="B4",V50,IF($Q$76="B5",AA50,IF($Q$76="B6",AF50,IF($Q$76="B7",V50,IF($Q$76="B8",AK50,AP50))))))))</f>
        <v>0</v>
      </c>
      <c r="V76" s="361">
        <f>IF($Q$76="B1",H50,IF($Q$76="B2",M50,IF($Q$76="B3",R50,IF($Q$76="B4",W50,IF($Q$76="B5",AB50,IF($Q$76="B6",AG50,IF($Q$76="B7",W50,IF($Q$76="B8",AL50,AQ50))))))))</f>
        <v>0</v>
      </c>
      <c r="W76" s="331">
        <f>IF($Q$76="B1",E63,IF($Q$76="B2",J63,IF($Q$76="B3",O63,IF($Q$76="B4",T63,IF($Q$76="B5",Y63,IF($Q$76="B6",AD63,IF($Q$76="B7",T63,IF($Q$76="B8",AI63,AN63))))))))</f>
        <v>0</v>
      </c>
      <c r="X76" s="316">
        <f>IF($Q$76="B1",F63,IF($Q$76="B2",K63,IF($Q$76="B3",P63,IF($Q$76="B4",U63,IF($Q$76="B5",Z63,IF($Q$76="B6",AE63,IF($Q$76="B7",U63,IF($Q$76="B8",AJ63,AO63))))))))</f>
        <v>0</v>
      </c>
      <c r="Y76" s="316">
        <f>IF($Q$76="B1",G63,IF($Q$76="B2",L63,IF($Q$76="B3",Q63,IF($Q$76="B4",V63,IF($Q$76="B5",AA63,IF($Q$76="B6",AF63,IF($Q$76="B7",V63,IF($Q$76="B8",AK63,AP63))))))))</f>
        <v>0</v>
      </c>
      <c r="Z76" s="322">
        <f>IF($Q$76="B1",H63,IF($Q$76="B2",M63,IF($Q$76="B3",R63,IF($Q$76="B4",W63,IF($Q$76="B5",AB63,IF($Q$76="B6",AG63,IF($Q$76="B7",W63,IF($Q$76="B8",AL63,AQ63))))))))</f>
        <v>0</v>
      </c>
    </row>
    <row r="77" spans="2:43" x14ac:dyDescent="0.2">
      <c r="B77" s="626" t="s">
        <v>466</v>
      </c>
      <c r="C77" s="371" t="s">
        <v>18</v>
      </c>
      <c r="D77" s="342">
        <f>IF(ISERROR((C_FNK S_maxi_continu1)-$W$72),"N/A",((C_FNK S_maxi_continu1)-$W$72))</f>
        <v>0</v>
      </c>
      <c r="E77" s="342">
        <f>IF(ISERROR((C_FNK S_maxi_continu2)-$W$73),"N/A",((C_FNK S_maxi_continu2)-$W$73))</f>
        <v>0</v>
      </c>
      <c r="F77" s="342">
        <f>IF(ISERROR((C_FNK S_maxi_continu3)-$W$74),"N/A",((C_FNK S_maxi_continu3)-$W$74))</f>
        <v>0</v>
      </c>
      <c r="G77" s="342">
        <f>IF(ISERROR((C_FNK S_maxi_continu4)-$W$75),"N/A",((C_FNK S_maxi_continu4)-$W$75))</f>
        <v>0</v>
      </c>
      <c r="H77" s="342">
        <f>IF(ISERROR((C_FNK S_maxi_continu5)-$W$76),"N/A",((C_FNK S_maxi_continu5)-$W$76))</f>
        <v>0</v>
      </c>
      <c r="I77" s="342" t="str">
        <f>IF(ISERROR((C_FNK S_maxi_continu6)-$W$77),"N/A",((C_FNK S_maxi_continu6)-$W$77))</f>
        <v>N/A</v>
      </c>
      <c r="J77" s="342" t="str">
        <f>IF(ISERROR((C_FNK S_maxi_continu7)-$W$78),"N/A",((C_FNK S_maxi_continu7)-$W$78))</f>
        <v>N/A</v>
      </c>
      <c r="K77" s="342" t="str">
        <f>IF(ISERROR((C_FNK S_maxi_continu8)-$W$79),"N/A",((C_FNK S_maxi_continu8)-$W$79))</f>
        <v>N/A</v>
      </c>
      <c r="L77" s="367" t="str">
        <f>IF(ISERROR((C_FNK S_maxi_continu9)-$W$80),"N/A",((C_FNK S_maxi_continu9)-$W$80))</f>
        <v>N/A</v>
      </c>
      <c r="N77" s="351" t="str">
        <f>IF(OR($R$77=80,$R$77=85),"B8",IF(OR($R$77=94,$R$77=95),"B9","N/A"))</f>
        <v>N/A</v>
      </c>
      <c r="O77" s="350" t="str">
        <f>IF(OR($R$77=10,$R$77=14,$R$77=15),"B1",IF(OR($R$77=20,$R$77=22,$R$77=24,$R$77=25),"B2",IF(OR($R$77=34,$R$77=35),"B3",IF(OR($R$77=40,$R$77=44,$R$77=45),"B4",IF(OR($R$77=50,$R$77=55),"B5",IF(OR($R$77=60,$R$77=64,$R$77=65),"B6",IF(OR($R$77=75),"B7","N/A")))))))</f>
        <v>N/A</v>
      </c>
      <c r="P77" s="162" t="s">
        <v>451</v>
      </c>
      <c r="Q77" s="350" t="str">
        <f>IF($O$77="N/A",$N$77,$O$77)</f>
        <v>N/A</v>
      </c>
      <c r="R77" s="358" t="str">
        <f>IF(ISERROR(VLOOKUP(C_Engine_Rating S_take_off6, enum_list!$A$2:$F$102,1,1)),"N/A",VLOOKUP(C_Engine_Rating S_take_off6, enum_list!$A$2:$F$102,1,1))</f>
        <v>N/A</v>
      </c>
      <c r="S77" s="331">
        <f>IF($Q$77="B1",E51,IF($Q$77="B2",J51,IF($Q$77="B3",O51,IF($Q$77="B4",T51,IF($Q$77="B5",Y51,IF($Q$77="B6",AD51,IF($Q$77="B7",T51,IF($Q$77="B8",AI51,AN51))))))))</f>
        <v>0</v>
      </c>
      <c r="T77" s="316">
        <f>IF($Q$77="B1",F51,IF($Q$77="B2",K51,IF($Q$77="B3",P51,IF($Q$77="B4",U51,IF($Q$77="B5",Z51,IF($Q$77="B6",AE51,IF($Q$77="B7",U51,IF($Q$77="B8",AJ51,AO51))))))))</f>
        <v>0</v>
      </c>
      <c r="U77" s="316">
        <f>IF($Q$77="B1",G51,IF($Q$77="B2",L51,IF($Q$77="B3",Q51,IF($Q$77="B4",V51,IF($Q$77="B5",AA51,IF($Q$77="B6",AF51,IF($Q$77="B7",V51,IF($Q$77="B8",AK51,AP51))))))))</f>
        <v>0</v>
      </c>
      <c r="V77" s="361">
        <f>IF($Q$77="B1",H51,IF($Q$77="B2",M51,IF($Q$77="B3",R51,IF($Q$77="B4",W51,IF($Q$77="B5",AB51,IF($Q$77="B6",AG51,IF($Q$77="B7",W51,IF($Q$77="B8",AL51,AQ51))))))))</f>
        <v>0</v>
      </c>
      <c r="W77" s="331">
        <f>IF($Q$77="B1",E64,IF($Q$77="B2",J64,IF($Q$77="B3",O64,IF($Q$77="B4",T64,IF($Q$77="B5",Y64,IF($Q$77="B6",AD64,IF($Q$77="B7",T64,IF($Q$77="B8",AI64,AN64))))))))</f>
        <v>0</v>
      </c>
      <c r="X77" s="316">
        <f>IF($Q$77="B1",F64,IF($Q$77="B2",K64,IF($Q$77="B3",P64,IF($Q$77="B4",U64,IF($Q$77="B5",Z64,IF($Q$77="B6",AE64,IF($Q$77="B7",U64,IF($Q$77="B8",AJ64,AO64))))))))</f>
        <v>0</v>
      </c>
      <c r="Y77" s="316">
        <f>IF($Q$77="B1",G64,IF($Q$77="B2",L64,IF($Q$77="B3",Q64,IF($Q$77="B4",V64,IF($Q$77="B5",AA64,IF($Q$77="B6",AF64,IF($Q$77="B7",V64,IF($Q$77="B8",AK64,AP64))))))))</f>
        <v>0</v>
      </c>
      <c r="Z77" s="322">
        <f>IF($Q$77="B1",H64,IF($Q$77="B2",M64,IF($Q$77="B3",R64,IF($Q$77="B4",W64,IF($Q$77="B5",AB64,IF($Q$77="B6",AG64,IF($Q$77="B7",W64,IF($Q$77="B8",AL64,AQ64))))))))</f>
        <v>0</v>
      </c>
    </row>
    <row r="78" spans="2:43" x14ac:dyDescent="0.2">
      <c r="B78" s="627"/>
      <c r="C78" s="371" t="s">
        <v>142</v>
      </c>
      <c r="D78" s="342">
        <f>IF(ISERROR((C_EGTK S_maxi_continu1)-$X$72),"N/A",((C_EGTK S_maxi_continu1)-$X$72))</f>
        <v>0</v>
      </c>
      <c r="E78" s="342">
        <f>IF(ISERROR((C_EGTK S_maxi_continu2)-$X$73),"N/A",((C_EGTK S_maxi_continu2)-$X$73))</f>
        <v>0</v>
      </c>
      <c r="F78" s="342">
        <f>IF(ISERROR((C_EGTK S_maxi_continu3)-$X$74),"N/A",((C_EGTK S_maxi_continu3)-$X$74))</f>
        <v>0</v>
      </c>
      <c r="G78" s="342">
        <f>IF(ISERROR((C_EGTK S_maxi_continu4)-$X$75),"N/A",((C_EGTK S_maxi_continu4)-$X$75))</f>
        <v>0</v>
      </c>
      <c r="H78" s="342">
        <f>IF(ISERROR((C_EGTK S_maxi_continu5)-$X$76),"N/A",((C_EGTK S_maxi_continu5)-$X$76))</f>
        <v>0</v>
      </c>
      <c r="I78" s="342" t="str">
        <f>IF(ISERROR((C_EGTK S_maxi_continu6)-$X$77),"N/A",((C_EGTK S_maxi_continu6)-$X$77))</f>
        <v>N/A</v>
      </c>
      <c r="J78" s="342" t="str">
        <f>IF(ISERROR((C_EGTK S_maxi_continu7)-$X$78),"N/A",((C_EGTK S_maxi_continu7)-$X$78))</f>
        <v>N/A</v>
      </c>
      <c r="K78" s="342" t="str">
        <f>IF(ISERROR((C_EGTK S_maxi_continu8)-$X$79),"N/A",((C_EGTK S_maxi_continu8)-$X$79))</f>
        <v>N/A</v>
      </c>
      <c r="L78" s="367" t="str">
        <f>IF(ISERROR((C_EGTK S_maxi_continu9)-$X$80),"N/A",((C_EGTK S_maxi_continu9)-$X$80))</f>
        <v>N/A</v>
      </c>
      <c r="N78" s="351" t="str">
        <f>IF(OR($R$78=80,$R$78=85),"B8",IF(OR($R$78=94,$R$78=95),"B9","N/A"))</f>
        <v>N/A</v>
      </c>
      <c r="O78" s="350" t="str">
        <f>IF(OR($R$78=10,$R$78=14,$R$78=15),"B1",IF(OR($R$78=20,$R$78=22,$R$78=24,$R$78=25),"B2",IF(OR($R$78=34,$R$78=35),"B3",IF(OR($R$78=40,$R$78=44,$R$78=45),"B4",IF(OR($R$78=50,$R$78=55),"B5",IF(OR($R$78=60,$R$78=64,$R$78=65),"B6",IF(OR($R$78=75),"B7","N/A")))))))</f>
        <v>N/A</v>
      </c>
      <c r="P78" s="162" t="s">
        <v>452</v>
      </c>
      <c r="Q78" s="350" t="str">
        <f>IF($O$78="N/A",$N$78,$O$78)</f>
        <v>N/A</v>
      </c>
      <c r="R78" s="358" t="str">
        <f>IF(ISERROR(VLOOKUP(C_Engine_Rating S_take_off7, enum_list!$A$2:$F$102,1,1)),"N/A",VLOOKUP(C_Engine_Rating S_take_off7, enum_list!$A$2:$F$102,1,1))</f>
        <v>N/A</v>
      </c>
      <c r="S78" s="331">
        <f>IF($Q$78="B1",E52,IF($Q$78="B2",J52,IF($Q$78="B3",O52,IF($Q$78="B4",T52,IF($Q$78="B5",Y52,IF($Q$78="B6",AD52,IF($Q$78="B7",T52,IF($Q$78="B8",AI52,AN52))))))))</f>
        <v>0</v>
      </c>
      <c r="T78" s="316">
        <f>IF($Q$78="B1",F52,IF($Q$78="B2",K52,IF($Q$78="B3",P52,IF($Q$78="B4",U52,IF($Q$78="B5",Z52,IF($Q$78="B6",AE52,IF($Q$78="B7",U52,IF($Q$78="B8",AJ52,AO52))))))))</f>
        <v>0</v>
      </c>
      <c r="U78" s="316">
        <f>IF($Q$78="B1",G52,IF($Q$78="B2",L52,IF($Q$78="B3",Q52,IF($Q$78="B4",V52,IF($Q$78="B5",AA52,IF($Q$78="B6",AF52,IF($Q$78="B7",V52,IF($Q$78="B8",AK52,AP52))))))))</f>
        <v>0</v>
      </c>
      <c r="V78" s="361">
        <f>IF($Q$78="B1",H52,IF($Q$78="B2",M52,IF($Q$78="B3",R52,IF($Q$78="B4",W52,IF($Q$78="B5",AB52,IF($Q$78="B6",AG52,IF($Q$78="B7",W52,IF($Q$78="B8",AL52,AQ52))))))))</f>
        <v>0</v>
      </c>
      <c r="W78" s="331">
        <f>IF($Q$78="B1",E65,IF($Q$78="B2",J65,IF($Q$78="B3",O65,IF($Q$78="B4",T65,IF($Q$78="B5",Y65,IF($Q$78="B6",AD65,IF($Q$78="B7",T65,IF($Q$78="B8",AI65,AN65))))))))</f>
        <v>0</v>
      </c>
      <c r="X78" s="316">
        <f>IF($Q$78="B1",F65,IF($Q$78="B2",K65,IF($Q$78="B3",P65,IF($Q$78="B4",U65,IF($Q$78="B5",Z65,IF($Q$78="B6",AE65,IF($Q$78="B7",U65,IF($Q$78="B8",AJ65,AO65))))))))</f>
        <v>0</v>
      </c>
      <c r="Y78" s="316">
        <f>IF($Q$78="B1",G65,IF($Q$78="B2",L65,IF($Q$78="B3",Q65,IF($Q$78="B4",V65,IF($Q$78="B5",AA65,IF($Q$78="B6",AF65,IF($Q$78="B7",V65,IF($Q$78="B8",AK65,AP65))))))))</f>
        <v>0</v>
      </c>
      <c r="Z78" s="322">
        <f>IF($Q$78="B1",H65,IF($Q$78="B2",M65,IF($Q$78="B3",R65,IF($Q$78="B4",W65,IF($Q$78="B5",AB65,IF($Q$78="B6",AG65,IF($Q$78="B7",W65,IF($Q$78="B8",AL65,AQ65))))))))</f>
        <v>0</v>
      </c>
    </row>
    <row r="79" spans="2:43" x14ac:dyDescent="0.2">
      <c r="B79" s="627"/>
      <c r="C79" s="371" t="s">
        <v>36</v>
      </c>
      <c r="D79" s="342">
        <f>IF(ISERROR((C_N2K S_maxi_continu1)-$Y$72),"N/A",((C_N2K S_maxi_continu1)-$Y$72))</f>
        <v>0</v>
      </c>
      <c r="E79" s="342">
        <f>IF(ISERROR((C_N2K S_maxi_continu2)-$Y$73),"N/A",((C_N2K S_maxi_continu2)-$Y$73))</f>
        <v>0</v>
      </c>
      <c r="F79" s="342">
        <f>IF(ISERROR((C_N2K S_maxi_continu3)-$Y$74),"N/A",((C_N2K S_maxi_continu3)-$Y$74))</f>
        <v>0</v>
      </c>
      <c r="G79" s="342">
        <f>IF(ISERROR((C_N2K S_maxi_continu4)-$Y$75),"N/A",((C_N2K S_maxi_continu4)-$Y$75))</f>
        <v>0</v>
      </c>
      <c r="H79" s="342">
        <f>IF(ISERROR((C_N2K S_maxi_continu5)-$Y$76),"N/A",((C_N2K S_maxi_continu5)-$Y$76))</f>
        <v>0</v>
      </c>
      <c r="I79" s="342" t="str">
        <f>IF(ISERROR((C_N2K S_maxi_continu6)-$Y$77),"N/A",((C_N2K S_maxi_continu6)-$Y$77))</f>
        <v>N/A</v>
      </c>
      <c r="J79" s="342" t="str">
        <f>IF(ISERROR((C_N2K S_maxi_continu7)-$Y$78),"N/A",((C_N2K S_maxi_continu7)-$Y$78))</f>
        <v>N/A</v>
      </c>
      <c r="K79" s="342" t="str">
        <f>IF(ISERROR((C_N2K S_maxi_continu8)-$Y$79),"N/A",((C_N2K S_maxi_continu8)-$Y$79))</f>
        <v>N/A</v>
      </c>
      <c r="L79" s="367" t="str">
        <f>IF(ISERROR((C_N2K S_maxi_continu9)-$Y$80),"N/A",((C_N2K S_maxi_continu9)-$Y$80))</f>
        <v>N/A</v>
      </c>
      <c r="N79" s="351" t="str">
        <f>IF(OR($R$79=80,$R$79=85),"B8",IF(OR($R$79=94,$R$79=95),"B9","N/A"))</f>
        <v>N/A</v>
      </c>
      <c r="O79" s="350" t="str">
        <f>IF(OR($R$79=10,$R$79=14,$R$79=15),"B1",IF(OR($R$79=20,$R$79=22,$R$79=24,$R$79=25),"B2",IF(OR($R$79=34,$R$79=35),"B3",IF(OR($R$79=40,$R$79=44,$R$79=45),"B4",IF(OR($R$79=50,$R$79=55),"B5",IF(OR($R$79=60,$R$79=64,$R$79=65),"B6",IF(OR($R$79=75),"B7","N/A")))))))</f>
        <v>N/A</v>
      </c>
      <c r="P79" s="162" t="s">
        <v>453</v>
      </c>
      <c r="Q79" s="350" t="str">
        <f>IF($O$79="N/A",$N$79,$O$79)</f>
        <v>N/A</v>
      </c>
      <c r="R79" s="358" t="str">
        <f>IF(ISERROR(VLOOKUP(C_Engine_Rating S_take_off8, enum_list!$A$2:$F$102,1,1)),"N/A",VLOOKUP(C_Engine_Rating S_take_off8, enum_list!$A$2:$F$102,1,1))</f>
        <v>N/A</v>
      </c>
      <c r="S79" s="331">
        <f>IF($Q$79="B1",E53,IF($Q$79="B2",J53,IF($Q$79="B3",O53,IF($Q$79="B4",T53,IF($Q$79="B5",Y53,IF($Q$79="B6",AD53,IF($Q$79="B7",T53,IF($Q$79="B8",AI53,AN53))))))))</f>
        <v>0</v>
      </c>
      <c r="T79" s="316">
        <f>IF($Q$79="B1",F53,IF($Q$79="B2",K53,IF($Q$79="B3",P53,IF($Q$79="B4",U53,IF($Q$79="B5",Z53,IF($Q$79="B6",AE53,IF($Q$79="B7",U53,IF($Q$79="B8",AJ53,AO53))))))))</f>
        <v>0</v>
      </c>
      <c r="U79" s="316">
        <f>IF($Q$79="B1",G53,IF($Q$79="B2",L53,IF($Q$79="B3",Q53,IF($Q$79="B4",V53,IF($Q$79="B5",AA53,IF($Q$79="B6",AF53,IF($Q$79="B7",V53,IF($Q$79="B8",AK53,AP53))))))))</f>
        <v>0</v>
      </c>
      <c r="V79" s="361">
        <f>IF($Q$79="B1",H53,IF($Q$79="B2",M53,IF($Q$79="B3",R53,IF($Q$79="B4",W53,IF($Q$79="B5",AB53,IF($Q$79="B6",AG53,IF($Q$79="B7",W53,IF($Q$79="B8",AL53,AQ53))))))))</f>
        <v>0</v>
      </c>
      <c r="W79" s="331">
        <f>IF($Q$79="B1",E66,IF($Q$79="B2",J66,IF($Q$79="B3",O66,IF($Q$79="B4",T66,IF($Q$79="B5",Y66,IF($Q$79="B6",AD66,IF($Q$79="B7",T66,IF($Q$79="B8",AI66,AN66))))))))</f>
        <v>0</v>
      </c>
      <c r="X79" s="316">
        <f>IF($Q$79="B1",F66,IF($Q$79="B2",K66,IF($Q$79="B3",P66,IF($Q$79="B4",U66,IF($Q$79="B5",Z66,IF($Q$79="B6",AE66,IF($Q$79="B7",U66,IF($Q$79="B8",AJ66,AO66))))))))</f>
        <v>0</v>
      </c>
      <c r="Y79" s="316">
        <f>IF($Q$79="B1",G66,IF($Q$79="B2",L66,IF($Q$79="B3",Q66,IF($Q$79="B4",V66,IF($Q$79="B5",AA66,IF($Q$79="B6",AF66,IF($Q$79="B7",V66,IF($Q$79="B8",AK66,AP66))))))))</f>
        <v>0</v>
      </c>
      <c r="Z79" s="322">
        <f>IF($Q$79="B1",H66,IF($Q$79="B2",M66,IF($Q$79="B3",R66,IF($Q$79="B4",W66,IF($Q$79="B5",AB66,IF($Q$79="B6",AG66,IF($Q$79="B7",W66,IF($Q$79="B8",AL66,AQ66))))))))</f>
        <v>0</v>
      </c>
    </row>
    <row r="80" spans="2:43" ht="13.5" thickBot="1" x14ac:dyDescent="0.25">
      <c r="B80" s="628"/>
      <c r="C80" s="372" t="s">
        <v>486</v>
      </c>
      <c r="D80" s="368">
        <f>IF(ISERROR((C_N1REF_MC S_maxi_continu1)-$Z$72),"N/A",((C_N1REF_MC S_maxi_continu1)-$Z$72))</f>
        <v>0</v>
      </c>
      <c r="E80" s="368">
        <f>IF(ISERROR((C_N1REF_MC S_maxi_continu2)-$Z$73),"N/A",((C_N1REF_MC S_maxi_continu2)-$Z$73))</f>
        <v>0</v>
      </c>
      <c r="F80" s="368">
        <f>IF(ISERROR((C_N1REF_MC S_maxi_continu3)-$Z$74),"N/A",((C_N1REF_MC S_maxi_continu3)-$Z$74))</f>
        <v>0</v>
      </c>
      <c r="G80" s="368">
        <f>IF(ISERROR((C_N1REF_MC S_maxi_continu4)-$Z$75),"N/A",((C_N1REF_MC S_maxi_continu4)-$Z$75))</f>
        <v>0</v>
      </c>
      <c r="H80" s="368">
        <f>IF(ISERROR((C_N1REF_MC S_maxi_continu5)-$Z$76),"N/A",((C_N1REF_MC S_maxi_continu5)-$Z$76))</f>
        <v>0</v>
      </c>
      <c r="I80" s="368" t="str">
        <f>IF(ISERROR((C_N1REF_MC S_maxi_continu6)-$Z$77),"N/A",((C_N1REF_MC S_maxi_continu6)-$Z$77))</f>
        <v>N/A</v>
      </c>
      <c r="J80" s="368" t="str">
        <f>IF(ISERROR((C_N1REF_MC S_maxi_continu7)-$Z$78),"N/A",((C_N1REF_MC S_maxi_continu7)-$Z$78))</f>
        <v>N/A</v>
      </c>
      <c r="K80" s="368" t="str">
        <f>IF(ISERROR((C_N1REF_MC S_maxi_continu8)-$Z$79),"N/A",((C_N1REF_MC S_maxi_continu8)-$Z$79))</f>
        <v>N/A</v>
      </c>
      <c r="L80" s="369" t="str">
        <f>IF(ISERROR((C_N1REF_MC S_maxi_continu9)-$Z$80),"N/A",((C_N1REF_MC S_maxi_continu9)-$Z$80))</f>
        <v>N/A</v>
      </c>
      <c r="N80" s="348" t="str">
        <f>IF(OR($R$80=80,$R$80=85),"B8",IF(OR($R$80=94,$R$80=95),"B9","N/A"))</f>
        <v>N/A</v>
      </c>
      <c r="O80" s="294" t="str">
        <f>IF(OR($R$80=10,$R$80=14,$R$80=15),"B1",IF(OR($R$80=20,$R$80=22,$R$80=24,$R$80=25),"B2",IF(OR($R$80=34,$R$80=35),"B3",IF(OR($R$80=40,$R$80=44,$R$80=45),"B4",IF(OR($R$80=50,$R$80=55),"B5",IF(OR($R$80=60,$R$80=64,$R$80=65),"B6",IF(OR($R$80=75),"B7","N/A")))))))</f>
        <v>N/A</v>
      </c>
      <c r="P80" s="176" t="s">
        <v>454</v>
      </c>
      <c r="Q80" s="294" t="str">
        <f>IF($O$80="N/A",$N$80,$O$80)</f>
        <v>N/A</v>
      </c>
      <c r="R80" s="359" t="str">
        <f>IF(ISERROR(VLOOKUP(C_Engine_Rating S_take_off9, enum_list!$A$2:$F$102,1,1)),"N/A",VLOOKUP(C_Engine_Rating S_take_off9, enum_list!$A$2:$F$102,1,1))</f>
        <v>N/A</v>
      </c>
      <c r="S80" s="332">
        <f>IF($Q$80="B1",E54,IF($Q$80="B2",J54,IF($Q$80="B3",O54,IF($Q$80="B4",T54,IF($Q$80="B5",Y54,IF($Q$80="B6",AD54,IF($Q$80="B7",T54,IF($Q$80="B8",AI54,AN54))))))))</f>
        <v>0</v>
      </c>
      <c r="T80" s="323">
        <f>IF($Q$80="B1",F54,IF($Q$80="B2",K54,IF($Q$80="B3",P54,IF($Q$80="B4",U54,IF($Q$80="B5",Z54,IF($Q$80="B6",AE54,IF($Q$80="B7",U54,IF($Q$80="B8",AJ54,AO54))))))))</f>
        <v>0</v>
      </c>
      <c r="U80" s="323">
        <f>IF($Q$80="B1",G54,IF($Q$80="B2",L54,IF($Q$80="B3",Q54,IF($Q$80="B4",V54,IF($Q$80="B5",AA54,IF($Q$80="B6",AF54,IF($Q$80="B7",V54,IF($Q$80="B8",AK54,AP54))))))))</f>
        <v>0</v>
      </c>
      <c r="V80" s="362">
        <f>IF($Q$80="B1",H54,IF($Q$80="B2",M54,IF($Q$80="B3",R54,IF($Q$80="B4",W54,IF($Q$80="B5",AB54,IF($Q$80="B6",AG54,IF($Q$80="B7",W54,IF($Q$80="B8",AL54,AQ54))))))))</f>
        <v>0</v>
      </c>
      <c r="W80" s="332">
        <f>IF($Q$80="B1",E67,IF($Q$80="B2",J67,IF($Q$80="B3",O67,IF($Q$80="B4",T67,IF($Q$80="B5",Y67,IF($Q$80="B6",AD67,IF($Q$80="B7",T67,IF($Q$80="B8",AI67,AN67))))))))</f>
        <v>0</v>
      </c>
      <c r="X80" s="323">
        <f>IF($Q$80="B1",F67,IF($Q$80="B2",K67,IF($Q$80="B3",P67,IF($Q$80="B4",U67,IF($Q$80="B5",Z67,IF($Q$80="B6",AE67,IF($Q$80="B7",U67,IF($Q$80="B8",AJ67,AO67))))))))</f>
        <v>0</v>
      </c>
      <c r="Y80" s="323">
        <f>IF($Q$80="B1",G67,IF($Q$80="B2",L67,IF($Q$80="B3",Q67,IF($Q$80="B4",V67,IF($Q$80="B5",AA67,IF($Q$80="B6",AF67,IF($Q$80="B7",V67,IF($Q$80="B8",AK67,AP67))))))))</f>
        <v>0</v>
      </c>
      <c r="Z80" s="324">
        <f>IF($Q$80="B1",H67,IF($Q$80="B2",M67,IF($Q$80="B3",R67,IF($Q$80="B4",W67,IF($Q$80="B5",AB67,IF($Q$80="B6",AG67,IF($Q$80="B7",W67,IF($Q$80="B8",AL67,AQ67))))))))</f>
        <v>0</v>
      </c>
    </row>
    <row r="81" spans="2:12" ht="13.5" thickBot="1" x14ac:dyDescent="0.25"/>
    <row r="82" spans="2:12" x14ac:dyDescent="0.2">
      <c r="B82" s="614" t="s">
        <v>522</v>
      </c>
      <c r="C82" s="615"/>
      <c r="D82" s="615"/>
      <c r="E82" s="615"/>
      <c r="F82" s="615"/>
      <c r="G82" s="615"/>
      <c r="H82" s="615"/>
      <c r="I82" s="615"/>
      <c r="J82" s="615"/>
      <c r="K82" s="615"/>
      <c r="L82" s="616"/>
    </row>
    <row r="83" spans="2:12" ht="13.5" thickBot="1" x14ac:dyDescent="0.25">
      <c r="B83" s="617"/>
      <c r="C83" s="618"/>
      <c r="D83" s="618"/>
      <c r="E83" s="618"/>
      <c r="F83" s="618"/>
      <c r="G83" s="618"/>
      <c r="H83" s="618"/>
      <c r="I83" s="618"/>
      <c r="J83" s="618"/>
      <c r="K83" s="618"/>
      <c r="L83" s="619"/>
    </row>
    <row r="84" spans="2:12" ht="13.5" thickBot="1" x14ac:dyDescent="0.25">
      <c r="B84" s="366"/>
      <c r="C84" s="60"/>
      <c r="D84" s="364" t="s">
        <v>475</v>
      </c>
      <c r="E84" s="364" t="s">
        <v>476</v>
      </c>
      <c r="F84" s="364" t="s">
        <v>477</v>
      </c>
      <c r="G84" s="364" t="s">
        <v>478</v>
      </c>
      <c r="H84" s="364" t="s">
        <v>479</v>
      </c>
      <c r="I84" s="364" t="s">
        <v>480</v>
      </c>
      <c r="J84" s="364" t="s">
        <v>481</v>
      </c>
      <c r="K84" s="364" t="s">
        <v>482</v>
      </c>
      <c r="L84" s="365" t="s">
        <v>483</v>
      </c>
    </row>
    <row r="85" spans="2:12" x14ac:dyDescent="0.2">
      <c r="B85" s="629" t="s">
        <v>465</v>
      </c>
      <c r="C85" s="373" t="s">
        <v>34</v>
      </c>
      <c r="D85" s="342">
        <f>IF(ISERROR(C_N2R2HD S_take_off1 -$U$72),"N/A",(C_N2R2HD S_take_off1 -$U$72))</f>
        <v>0</v>
      </c>
      <c r="E85" s="342">
        <f>IF(ISERROR(C_N2R2HD S_take_off2 -$U$73),"N/A",(C_N2R2HD S_take_off2 -$U$73))</f>
        <v>0</v>
      </c>
      <c r="F85" s="342">
        <f>IF(ISERROR(C_N2R2HD S_take_off3-$U$74),"N/A",(C_N2R2HD S_take_off3-$U$74))</f>
        <v>0</v>
      </c>
      <c r="G85" s="342">
        <f>IF(ISERROR(C_N2R2HD S_take_off4-$U$75),"N/A",(C_N2R2HD S_take_off4-$U$75))</f>
        <v>0</v>
      </c>
      <c r="H85" s="342">
        <f>IF(ISERROR(C_N2R2HD S_take_off5-$U$76),"N/A",(C_N2R2HD S_take_off5-$U$76))</f>
        <v>0</v>
      </c>
      <c r="I85" s="342" t="str">
        <f>IF(ISERROR(C_N2R2HD S_take_off6-$U$77),"N/A",(C_N2R2HD S_take_off6-$U$77))</f>
        <v>N/A</v>
      </c>
      <c r="J85" s="342" t="str">
        <f>IF(ISERROR(C_N2R2HD S_take_off7-$U$78),"N/A",(C_N2R2HD S_take_off7-$U$78))</f>
        <v>N/A</v>
      </c>
      <c r="K85" s="342" t="str">
        <f>IF(ISERROR(C_N2R2HD S_take_off8-$U$79),"N/A",(C_N2R2HD S_take_off8-$U$79))</f>
        <v>N/A</v>
      </c>
      <c r="L85" s="367" t="str">
        <f>IF(ISERROR(C_N2R2HD S_take_off9-$U$80),"N/A",(C_N2R2HD S_take_off9-$U$80))</f>
        <v>N/A</v>
      </c>
    </row>
    <row r="86" spans="2:12" ht="13.5" thickBot="1" x14ac:dyDescent="0.25">
      <c r="B86" s="630"/>
      <c r="C86" s="373" t="s">
        <v>5</v>
      </c>
      <c r="D86" s="342" t="str">
        <f>IF(ISERROR((($D$74-C_KSHUNT S_take_off1+273.15)*C_THETA_HD S_take_off1^C_XEGT S_take_off1-273.15)+C_KSHUNT S_take_off1+C_EGT_TRIM S_take_off1),"N/A",((($D$74-C_KSHUNT S_take_off1+273.15)*C_THETA_HD S_take_off1^C_XEGT S_take_off1-273.15)+C_KSHUNT S_take_off1+C_EGT_TRIM S_take_off1))</f>
        <v>N/A</v>
      </c>
      <c r="E86" s="342" t="str">
        <f>IF(ISERROR((($E$74-C_KSHUNT S_take_off2+273.15)*C_THETA_HD S_take_off2^C_XEGT S_take_off2-273.15)+C_KSHUNT S_take_off2+C_EGT_TRIM S_take_off2),"N/A",((($E$74-C_KSHUNT S_take_off2+273.15)*C_THETA_HD S_take_off2^C_XEGT S_take_off2-273.15)+C_KSHUNT S_take_off2+C_EGT_TRIM S_take_off2))</f>
        <v>N/A</v>
      </c>
      <c r="F86" s="342" t="str">
        <f>IF(ISERROR((($F$74-C_KSHUNT S_take_off3+273.15)*C_THETA_HD S_take_off3^C_XEGT S_take_off3-273.15)+C_KSHUNT S_take_off3+C_EGT_TRIM S_take_off3),"N/A",((($F$74-C_KSHUNT S_take_off3+273.15)*C_THETA_HD S_take_off3^C_XEGT S_take_off3-273.15)+C_KSHUNT S_take_off3+C_EGT_TRIM S_take_off3))</f>
        <v>N/A</v>
      </c>
      <c r="G86" s="342" t="str">
        <f>IF(ISERROR((($G$74-C_KSHUNT S_take_off4+273.15)*C_THETA_HD S_take_off4^C_XEGT S_take_off4-273.15)+C_KSHUNT S_take_off4+C_EGT_TRIM S_take_off4),"N/A",((($G$74-C_KSHUNT S_take_off4+273.15)*C_THETA_HD S_take_off4^C_XEGT S_take_off4-273.15)+C_KSHUNT S_take_off4+C_EGT_TRIM S_take_off4))</f>
        <v>N/A</v>
      </c>
      <c r="H86" s="342" t="str">
        <f>IF(ISERROR((($H$74-C_KSHUNT S_take_off5+273.15)*C_THETA_HD S_take_off5^C_XEGT S_take_off5-273.15)+C_KSHUNT S_take_off5+C_EGT_TRIM S_take_off5),"N/A",((($H$74-C_KSHUNT S_take_off5+273.15)*C_THETA_HD S_take_off5^C_XEGT S_take_off5-273.15)+C_KSHUNT S_take_off5+C_EGT_TRIM S_take_off5))</f>
        <v>N/A</v>
      </c>
      <c r="I86" s="342" t="str">
        <f>IF(ISERROR((($I$74-C_KSHUNT S_take_off6+273.15)*C_THETA_HD S_take_off6^C_XEGT S_take_off6-273.15)+C_KSHUNT S_take_off6+C_EGT_TRIM S_take_off6),"N/A",((($I$74-C_KSHUNT S_take_off6+273.15)*C_THETA_HD S_take_off6^C_XEGT S_take_off6-273.15)+C_KSHUNT S_take_off6+C_EGT_TRIM S_take_off6))</f>
        <v>N/A</v>
      </c>
      <c r="J86" s="342" t="str">
        <f>IF(ISERROR((($J$74-C_KSHUNT S_take_off7+273.15)*C_THETA_HD S_take_off7^C_XEGT S_take_off7-273.15)+C_KSHUNT S_take_off7+C_EGT_TRIM S_take_off7),"N/A",((($J$74-C_KSHUNT S_take_off7+273.15)*C_THETA_HD S_take_off7^C_XEGT S_take_off7-273.15)+C_KSHUNT S_take_off7+C_EGT_TRIM S_take_off7))</f>
        <v>N/A</v>
      </c>
      <c r="K86" s="342" t="str">
        <f>IF(ISERROR((($K$74-C_KSHUNT S_take_off8+273.15)*C_THETA_HD S_take_off8^C_XEGT S_take_off8-273.15)+C_KSHUNT S_take_off8+C_EGT_TRIM S_take_off8),"N/A",((($K$74-C_KSHUNT S_take_off8+273.15)*C_THETA_HD S_take_off8^C_XEGT S_take_off8-273.15)+C_KSHUNT S_take_off8+C_EGT_TRIM S_take_off8))</f>
        <v>N/A</v>
      </c>
      <c r="L86" s="367" t="str">
        <f>IF(ISERROR((($L$74-C_KSHUNT S_take_off9+273.15)*C_THETA_HD S_take_off9^C_XEGT S_take_off9-273.15)+C_KSHUNT S_take_off9+C_EGT_TRIM S_take_off9),"N/A",((($L$74-C_KSHUNT S_take_off9+273.15)*C_THETA_HD S_take_off9^C_XEGT S_take_off9-273.15)+C_KSHUNT S_take_off9+C_EGT_TRIM S_take_off9))</f>
        <v>N/A</v>
      </c>
    </row>
    <row r="87" spans="2:12" x14ac:dyDescent="0.2">
      <c r="B87" s="629" t="s">
        <v>466</v>
      </c>
      <c r="C87" s="373" t="s">
        <v>34</v>
      </c>
      <c r="D87" s="342">
        <f>IF(ISERROR(C_N2R2HD S_maxi_continu1 -$Y$72),"N/A",(C_N2R2HD S_maxi_continu1 -$Y$72))</f>
        <v>0</v>
      </c>
      <c r="E87" s="342">
        <f>IF(ISERROR(C_N2R2HD S_maxi_continu2 -$Y$73),"N/A",(C_N2R2HD S_maxi_continu2 -$Y$73))</f>
        <v>0</v>
      </c>
      <c r="F87" s="342">
        <f>IF(ISERROR(C_N2R2HD S_maxi_continu3-$Y$74),"N/A",(C_N2R2HD S_maxi_continu3-$Y$74))</f>
        <v>0</v>
      </c>
      <c r="G87" s="342">
        <f>IF(ISERROR(C_N2R2HD S_maxi_continu4-$Y$75),"N/A",(C_N2R2HD S_maxi_continu4-$Y$75))</f>
        <v>0</v>
      </c>
      <c r="H87" s="342">
        <f>IF(ISERROR(C_N2R2HD S_maxi_continu5-$Y$76),"N/A",(C_N2R2HD S_maxi_continu5-$Y$76))</f>
        <v>0</v>
      </c>
      <c r="I87" s="342" t="str">
        <f>IF(ISERROR(C_N2R2HD S_maxi_continu6-$Y$77),"N/A",(C_N2R2HD S_maxi_continu6-$Y$77))</f>
        <v>N/A</v>
      </c>
      <c r="J87" s="342" t="str">
        <f>IF(ISERROR(C_N2R2HD S_maxi_continu7-$Y$78),"N/A",(C_N2R2HD S_maxi_continu7-$Y$78))</f>
        <v>N/A</v>
      </c>
      <c r="K87" s="342" t="str">
        <f>IF(ISERROR(C_N2R2HD S_maxi_continu8-$Y$79),"N/A",(C_N2R2HD S_maxi_continu8-$Y$79))</f>
        <v>N/A</v>
      </c>
      <c r="L87" s="367" t="str">
        <f>IF(ISERROR(C_N2R2HD S_maxi_continu9-$Y$80),"N/A",(C_N2R2HD S_maxi_continu9-$Y$80))</f>
        <v>N/A</v>
      </c>
    </row>
    <row r="88" spans="2:12" ht="13.5" thickBot="1" x14ac:dyDescent="0.25">
      <c r="B88" s="630"/>
      <c r="C88" s="374" t="s">
        <v>5</v>
      </c>
      <c r="D88" s="368" t="str">
        <f>IF(ISERROR((($D$74-C_KSHUNT S_maxi_continu1+273.15)*C_THETA_HD S_maxi_continu1^C_XEGT S_maxi_continu1-273.15)+C_KSHUNT S_maxi_continu1+C_EGT_TRIM S_maxi_continu1),"N/A",((($D$74-C_KSHUNT S_maxi_continu1+273.15)*C_THETA_HD S_maxi_continu1^C_XEGT S_maxi_continu1-273.15)+C_KSHUNT S_maxi_continu1+C_EGT_TRIM S_maxi_continu1))</f>
        <v>N/A</v>
      </c>
      <c r="E88" s="368" t="str">
        <f>IF(ISERROR((($E$74-C_KSHUNT S_maxi_continu2+273.15)*C_THETA_HD S_maxi_continu2^C_XEGT S_maxi_continu2-273.15)+C_KSHUNT S_maxi_continu2+C_EGT_TRIM S_maxi_continu2),"N/A",((($E$74-C_KSHUNT S_maxi_continu2+273.15)*C_THETA_HD S_maxi_continu2^C_XEGT S_maxi_continu2-273.15)+C_KSHUNT S_maxi_continu2+C_EGT_TRIM S_maxi_continu2))</f>
        <v>N/A</v>
      </c>
      <c r="F88" s="368" t="str">
        <f>IF(ISERROR((($F$74-C_KSHUNT S_maxi_continu3+273.15)*C_THETA_HD S_maxi_continu3^C_XEGT S_maxi_continu3-273.15)+C_KSHUNT S_maxi_continu3+C_EGT_TRIM S_maxi_continu3),"N/A",((($F$74-C_KSHUNT S_maxi_continu3+273.15)*C_THETA_HD S_maxi_continu3^C_XEGT S_maxi_continu3-273.15)+C_KSHUNT S_maxi_continu3+C_EGT_TRIM S_maxi_continu3))</f>
        <v>N/A</v>
      </c>
      <c r="G88" s="368" t="str">
        <f>IF(ISERROR((($G$74-C_KSHUNT S_maxi_continu4+273.15)*C_THETA_HD S_maxi_continu4^C_XEGT S_maxi_continu4-273.15)+C_KSHUNT S_maxi_continu4+C_EGT_TRIM S_maxi_continu4),"N/A",((($G$74-C_KSHUNT S_maxi_continu4+273.15)*C_THETA_HD S_maxi_continu4^C_XEGT S_maxi_continu4-273.15)+C_KSHUNT S_maxi_continu4+C_EGT_TRIM S_maxi_continu4))</f>
        <v>N/A</v>
      </c>
      <c r="H88" s="368" t="str">
        <f>IF(ISERROR((($H$74-C_KSHUNT S_maxi_continu5+273.15)*C_THETA_HD S_maxi_continu5^C_XEGT S_maxi_continu5-273.15)+C_KSHUNT S_maxi_continu5+C_EGT_TRIM S_maxi_continu5),"N/A",((($H$74-C_KSHUNT S_maxi_continu5+273.15)*C_THETA_HD S_maxi_continu5^C_XEGT S_maxi_continu5-273.15)+C_KSHUNT S_maxi_continu5+C_EGT_TRIM S_maxi_continu5))</f>
        <v>N/A</v>
      </c>
      <c r="I88" s="368" t="str">
        <f>IF(ISERROR((($I$74-C_KSHUNT S_maxi_continu6+273.15)*C_THETA_HD S_maxi_continu6^C_XEGT S_maxi_continu6-273.15)+C_KSHUNT S_maxi_continu6+C_EGT_TRIM S_maxi_continu6),"N/A",((($I$74-C_KSHUNT S_maxi_continu6+273.15)*C_THETA_HD S_maxi_continu6^C_XEGT S_maxi_continu6-273.15)+C_KSHUNT S_maxi_continu6+C_EGT_TRIM S_maxi_continu6))</f>
        <v>N/A</v>
      </c>
      <c r="J88" s="368" t="str">
        <f>IF(ISERROR((($J$74-C_KSHUNT S_maxi_continu7+273.15)*C_THETA_HD S_maxi_continu7^C_XEGT S_maxi_continu7-273.15)+C_KSHUNT S_maxi_continu7+C_EGT_TRIM S_maxi_continu7),"N/A",((($J$74-C_KSHUNT S_maxi_continu7+273.15)*C_THETA_HD S_maxi_continu7^C_XEGT S_maxi_continu7-273.15)+C_KSHUNT S_maxi_continu7+C_EGT_TRIM S_maxi_continu7))</f>
        <v>N/A</v>
      </c>
      <c r="K88" s="368" t="str">
        <f>IF(ISERROR((($K$74-C_KSHUNT S_maxi_continu8+273.15)*C_THETA_HD S_maxi_continu8^C_XEGT S_maxi_continu8-273.15)+C_KSHUNT S_maxi_continu8+C_EGT_TRIM S_maxi_continu8),"N/A",((($K$74-C_KSHUNT S_maxi_continu8+273.15)*C_THETA_HD S_maxi_continu8^C_XEGT S_maxi_continu8-273.15)+C_KSHUNT S_maxi_continu8+C_EGT_TRIM S_maxi_continu8))</f>
        <v>N/A</v>
      </c>
      <c r="L88" s="369" t="str">
        <f>IF(ISERROR((($L$74-C_KSHUNT S_maxi_continu9+273.15)*C_THETA_HD S_maxi_continu9^C_XEGT S_maxi_continu9-273.15)+C_KSHUNT S_maxi_continu9+C_EGT_TRIM S_maxi_continu9),"N/A",((($L$74-C_KSHUNT S_maxi_continu9+273.15)*C_THETA_HD S_maxi_continu9^C_XEGT S_maxi_continu9-273.15)+C_KSHUNT S_maxi_continu9+C_EGT_TRIM S_maxi_continu9))</f>
        <v>N/A</v>
      </c>
    </row>
    <row r="89" spans="2:12" ht="13.5" thickBot="1" x14ac:dyDescent="0.25"/>
    <row r="90" spans="2:12" x14ac:dyDescent="0.2">
      <c r="B90" s="614" t="s">
        <v>485</v>
      </c>
      <c r="C90" s="615"/>
      <c r="D90" s="615"/>
      <c r="E90" s="615"/>
      <c r="F90" s="615"/>
      <c r="G90" s="615"/>
      <c r="H90" s="615"/>
      <c r="I90" s="615"/>
      <c r="J90" s="615"/>
      <c r="K90" s="615"/>
      <c r="L90" s="616"/>
    </row>
    <row r="91" spans="2:12" ht="13.5" thickBot="1" x14ac:dyDescent="0.25">
      <c r="B91" s="617"/>
      <c r="C91" s="618"/>
      <c r="D91" s="618"/>
      <c r="E91" s="618"/>
      <c r="F91" s="618"/>
      <c r="G91" s="618"/>
      <c r="H91" s="618"/>
      <c r="I91" s="618"/>
      <c r="J91" s="618"/>
      <c r="K91" s="618"/>
      <c r="L91" s="619"/>
    </row>
    <row r="92" spans="2:12" ht="13.5" thickBot="1" x14ac:dyDescent="0.25">
      <c r="B92" s="375"/>
      <c r="C92" s="376"/>
      <c r="D92" s="338" t="s">
        <v>475</v>
      </c>
      <c r="E92" s="338" t="s">
        <v>476</v>
      </c>
      <c r="F92" s="338" t="s">
        <v>477</v>
      </c>
      <c r="G92" s="338" t="s">
        <v>478</v>
      </c>
      <c r="H92" s="338" t="s">
        <v>479</v>
      </c>
      <c r="I92" s="338" t="s">
        <v>480</v>
      </c>
      <c r="J92" s="338" t="s">
        <v>481</v>
      </c>
      <c r="K92" s="338" t="s">
        <v>482</v>
      </c>
      <c r="L92" s="339" t="s">
        <v>483</v>
      </c>
    </row>
    <row r="93" spans="2:12" ht="13.5" thickBot="1" x14ac:dyDescent="0.25">
      <c r="B93" s="445" t="s">
        <v>465</v>
      </c>
      <c r="C93" s="371" t="s">
        <v>499</v>
      </c>
      <c r="D93" s="342" t="str">
        <f>IF(ISERROR($D$76*(C_THETA_HD S_take_off1^C_EXPN1M S_take_off1)),"N/A",($D$76*(C_THETA_HD S_take_off1^C_EXPN1M S_take_off1)))</f>
        <v>N/A</v>
      </c>
      <c r="E93" s="342" t="str">
        <f>IF(ISERROR($E$76*(C_THETA_HD S_take_off2^C_EXPN1M S_take_off2)),"N/A",($E$76*(C_THETA_HD S_take_off2^C_EXPN1M S_take_off2)))</f>
        <v>N/A</v>
      </c>
      <c r="F93" s="342" t="str">
        <f>IF(ISERROR($F$76*(C_THETA_HD S_take_off3^C_EXPN1M S_take_off3)),"N/A",($F$76*(C_THETA_HD S_take_off3^C_EXPN1M S_take_off3)))</f>
        <v>N/A</v>
      </c>
      <c r="G93" s="342" t="str">
        <f>IF(ISERROR($G$76*(C_THETA_HD S_take_off4^C_EXPN1M S_take_off4)),"N/A",($G$76*(C_THETA_HD S_take_off4^C_EXPN1M S_take_off4)))</f>
        <v>N/A</v>
      </c>
      <c r="H93" s="342" t="str">
        <f>IF(ISERROR($H$76*(C_THETA_HD S_take_off5^C_EXPN1M S_take_off5)),"N/A",($H$76*(C_THETA_HD S_take_off5^C_EXPN1M S_take_off5)))</f>
        <v>N/A</v>
      </c>
      <c r="I93" s="342" t="str">
        <f>IF(ISERROR($I$76*(C_THETA_HD S_take_off6^C_EXPN1M S_take_off6)),"N/A",($I$76*(C_THETA_HD S_take_off6^C_EXPN1M S_take_off6)))</f>
        <v>N/A</v>
      </c>
      <c r="J93" s="342" t="str">
        <f>IF(ISERROR($J$76*(C_THETA_HD S_take_off7^C_EXPN1M S_take_off7)),"N/A",($J$76*(C_THETA_HD S_take_off7^C_EXPN1M S_take_off7)))</f>
        <v>N/A</v>
      </c>
      <c r="K93" s="342" t="str">
        <f>IF(ISERROR($K$76*(C_THETA_HD S_take_off8^C_EXPN1M S_take_off8)),"N/A",($K$76*(C_THETA_HD S_take_off8^C_EXPN1M S_take_off8)))</f>
        <v>N/A</v>
      </c>
      <c r="L93" s="367" t="str">
        <f>IF(ISERROR($L$76*(C_THETA_HD S_take_off9^C_EXPN1M S_take_off9)),"N/A",($L$76*(C_THETA_HD S_take_off9^C_EXPN1M S_take_off9)))</f>
        <v>N/A</v>
      </c>
    </row>
    <row r="94" spans="2:12" ht="13.5" thickBot="1" x14ac:dyDescent="0.25">
      <c r="B94" s="445" t="s">
        <v>466</v>
      </c>
      <c r="C94" s="372" t="s">
        <v>499</v>
      </c>
      <c r="D94" s="368" t="str">
        <f>IF(ISERROR($D$80*(C_THETA_HD S_maxi_continu1^C_EXPN1M S_maxi_continu1)),"N/A",($D$80*(C_THETA_HD S_maxi_continu1^C_EXPN1M S_maxi_continu1)))</f>
        <v>N/A</v>
      </c>
      <c r="E94" s="368" t="str">
        <f>IF(ISERROR($E$80*(C_THETA_HD S_maxi_continu2^C_EXPN1M S_maxi_continu2)),"N/A",($E$80*(C_THETA_HD S_maxi_continu2^C_EXPN1M S_maxi_continu2)))</f>
        <v>N/A</v>
      </c>
      <c r="F94" s="368" t="str">
        <f>IF(ISERROR($F$80*(C_THETA_HD S_maxi_continu3^C_EXPN1M S_maxi_continu3)),"N/A",($F$80*(C_THETA_HD S_maxi_continu3^C_EXPN1M S_maxi_continu3)))</f>
        <v>N/A</v>
      </c>
      <c r="G94" s="368" t="str">
        <f>IF(ISERROR($G$80*(C_THETA_HD S_maxi_continu4^C_EXPN1M S_maxi_continu4)),"N/A",($G$80*(C_THETA_HD S_maxi_continu4^C_EXPN1M S_maxi_continu4)))</f>
        <v>N/A</v>
      </c>
      <c r="H94" s="368" t="str">
        <f>IF(ISERROR($H$80*(C_THETA_HD S_maxi_continu5^C_EXPN1M S_maxi_continu5)),"N/A",($H$80*(C_THETA_HD S_maxi_continu5^C_EXPN1M S_maxi_continu5)))</f>
        <v>N/A</v>
      </c>
      <c r="I94" s="368" t="str">
        <f>IF(ISERROR($I$80*(C_THETA_HD S_maxi_continu6^C_EXPN1M S_maxi_continu6)),"N/A",($I$80*(C_THETA_HD S_maxi_continu6^C_EXPN1M S_maxi_continu6)))</f>
        <v>N/A</v>
      </c>
      <c r="J94" s="368" t="str">
        <f>IF(ISERROR($J$80*(C_THETA_HD S_maxi_continu7^C_EXPN1M S_maxi_continu7)),"N/A",($J$80*(C_THETA_HD S_maxi_continu7^C_EXPN1M S_maxi_continu7)))</f>
        <v>N/A</v>
      </c>
      <c r="K94" s="368" t="str">
        <f>IF(ISERROR($K$80*(C_THETA_HD S_maxi_continu8^C_EXPN1M S_maxi_continu8)),"N/A",($K$80*(C_THETA_HD S_maxi_continu8^C_EXPN1M S_maxi_continu8)))</f>
        <v>N/A</v>
      </c>
      <c r="L94" s="369" t="str">
        <f>IF(ISERROR($L$80*(C_THETA_HD S_maxi_continu9^C_EXPN1M S_maxi_continu9)),"N/A",($L$80*(C_THETA_HD S_maxi_continu9^C_EXPN1M S_maxi_continu9)))</f>
        <v>N/A</v>
      </c>
    </row>
    <row r="95" spans="2:12" ht="13.5" thickBot="1" x14ac:dyDescent="0.25"/>
    <row r="96" spans="2:12" x14ac:dyDescent="0.2">
      <c r="B96" s="614" t="s">
        <v>516</v>
      </c>
      <c r="C96" s="615"/>
      <c r="D96" s="615"/>
      <c r="E96" s="615"/>
      <c r="F96" s="615"/>
      <c r="G96" s="615"/>
      <c r="H96" s="615"/>
      <c r="I96" s="615"/>
      <c r="J96" s="615"/>
      <c r="K96" s="615"/>
      <c r="L96" s="616"/>
    </row>
    <row r="97" spans="2:12" ht="13.5" thickBot="1" x14ac:dyDescent="0.25">
      <c r="B97" s="617"/>
      <c r="C97" s="618"/>
      <c r="D97" s="618"/>
      <c r="E97" s="618"/>
      <c r="F97" s="618"/>
      <c r="G97" s="618"/>
      <c r="H97" s="618"/>
      <c r="I97" s="618"/>
      <c r="J97" s="618"/>
      <c r="K97" s="618"/>
      <c r="L97" s="619"/>
    </row>
    <row r="98" spans="2:12" ht="13.5" thickBot="1" x14ac:dyDescent="0.25">
      <c r="B98" s="375"/>
      <c r="C98" s="376"/>
      <c r="D98" s="338" t="s">
        <v>475</v>
      </c>
      <c r="E98" s="338" t="s">
        <v>476</v>
      </c>
      <c r="F98" s="338" t="s">
        <v>477</v>
      </c>
      <c r="G98" s="338" t="s">
        <v>478</v>
      </c>
      <c r="H98" s="338" t="s">
        <v>479</v>
      </c>
      <c r="I98" s="338" t="s">
        <v>480</v>
      </c>
      <c r="J98" s="338" t="s">
        <v>481</v>
      </c>
      <c r="K98" s="338" t="s">
        <v>482</v>
      </c>
      <c r="L98" s="339" t="s">
        <v>483</v>
      </c>
    </row>
    <row r="99" spans="2:12" ht="24.75" thickBot="1" x14ac:dyDescent="0.25">
      <c r="B99" s="448" t="s">
        <v>465</v>
      </c>
      <c r="C99" s="453" t="s">
        <v>515</v>
      </c>
      <c r="D99" s="446" t="str">
        <f>IF(ISERROR((C_EGTHD_LIM_TO S_take_off1)-$D$86),"N/A",((C_EGTHD_LIM_TO S_take_off1)-$D$86))</f>
        <v>N/A</v>
      </c>
      <c r="E99" s="446" t="str">
        <f>IF(ISERROR((C_EGTHD_LIM_TO S_take_off2)-$E$86),"N/A",((C_EGTHD_LIM_TO S_take_off2)-$E$86))</f>
        <v>N/A</v>
      </c>
      <c r="F99" s="446" t="str">
        <f>IF(ISERROR((C_EGTHD_LIM_TO S_take_off3)-$F$86),"N/A",((C_EGTHD_LIM_TO S_take_off3)-$F$86))</f>
        <v>N/A</v>
      </c>
      <c r="G99" s="446" t="str">
        <f>IF(ISERROR((C_EGTHD_LIM_TO S_take_off4)-$G$86),"N/A",((C_EGTHD_LIM_TO S_take_off4)-$G$86))</f>
        <v>N/A</v>
      </c>
      <c r="H99" s="446" t="str">
        <f>IF(ISERROR((C_EGTHD_LIM_TO S_take_off5)-$H$86),"N/A",((C_EGTHD_LIM_TO S_take_off5)-$H$86))</f>
        <v>N/A</v>
      </c>
      <c r="I99" s="446" t="str">
        <f>IF(ISERROR((C_EGTHD_LIM_TO S_take_off6)-$I$86),"N/A",((C_EGTHD_LIM_TO S_take_off6)-$I$86))</f>
        <v>N/A</v>
      </c>
      <c r="J99" s="446" t="str">
        <f>IF(ISERROR((C_EGTHD_LIM_TO S_take_off7)-$J$86),"N/A",((C_EGTHD_LIM_TO S_take_off7)-$J$86))</f>
        <v>N/A</v>
      </c>
      <c r="K99" s="446" t="str">
        <f>IF(ISERROR((C_EGTHD_LIM_TO S_take_off8)-$K$86),"N/A",((C_EGTHD_LIM_TO S_take_off8)-$K$86))</f>
        <v>N/A</v>
      </c>
      <c r="L99" s="447" t="str">
        <f>IF(ISERROR((C_EGTHD_LIM_TO S_take_off9)-$L$86),"N/A",((C_EGTHD_LIM_TO S_take_off9)-$L$86))</f>
        <v>N/A</v>
      </c>
    </row>
    <row r="100" spans="2:12" ht="24.75" thickBot="1" x14ac:dyDescent="0.25">
      <c r="B100" s="448" t="s">
        <v>466</v>
      </c>
      <c r="C100" s="454" t="s">
        <v>515</v>
      </c>
      <c r="D100" s="449" t="str">
        <f>IF(ISERROR((C_EGTHD_LIM_MC S_maxi_continu1)-$D$88),"N/A",((C_EGTHD_LIM_MC S_maxi_continu1)-$D$88))</f>
        <v>N/A</v>
      </c>
      <c r="E100" s="449" t="str">
        <f>IF(ISERROR((C_EGTHD_LIM_MC S_maxi_continu2)-$E$88),"N/A",((C_EGTHD_LIM_MC S_maxi_continu2)-$E$88))</f>
        <v>N/A</v>
      </c>
      <c r="F100" s="449" t="str">
        <f>IF(ISERROR((C_EGTHD_LIM_MC S_maxi_continu3)-$F$88),"N/A",((C_EGTHD_LIM_MC S_maxi_continu3)-$F$88))</f>
        <v>N/A</v>
      </c>
      <c r="G100" s="449" t="str">
        <f>IF(ISERROR((C_EGTHD_LIM_MC S_maxi_continu4)-$G$88),"N/A",((C_EGTHD_LIM_MC S_maxi_continu4)-$G$88))</f>
        <v>N/A</v>
      </c>
      <c r="H100" s="449" t="str">
        <f>IF(ISERROR((C_EGTHD_LIM_MC S_maxi_continu5)-$H$88),"N/A",((C_EGTHD_LIM_MC S_maxi_continu5)-$H$88))</f>
        <v>N/A</v>
      </c>
      <c r="I100" s="449" t="str">
        <f>IF(ISERROR((C_EGTHD_LIM_MC S_maxi_continu6)-$I$88),"N/A",((C_EGTHD_LIM_MC S_maxi_continu6)-$I$88))</f>
        <v>N/A</v>
      </c>
      <c r="J100" s="449" t="str">
        <f>IF(ISERROR((C_EGTHD_LIM_MC S_maxi_continu7)-$J$88),"N/A",((C_EGTHD_LIM_MC S_maxi_continu7)-$J$88))</f>
        <v>N/A</v>
      </c>
      <c r="K100" s="449" t="str">
        <f>IF(ISERROR((C_EGTHD_LIM_MC S_maxi_continu8)-$K$88),"N/A",((C_EGTHD_LIM_MC S_maxi_continu8)-$K$88))</f>
        <v>N/A</v>
      </c>
      <c r="L100" s="450" t="str">
        <f>IF(ISERROR((C_EGTHD_LIM_MC S_maxi_continu9)-$L$88),"N/A",((C_EGTHD_LIM_MC S_maxi_continu9)-$L$88))</f>
        <v>N/A</v>
      </c>
    </row>
  </sheetData>
  <sheetProtection algorithmName="SHA-512" hashValue="dLee0PdIL5J9Hjif84UPjra5uQP8clhF1ipgMy08CKJKE3tu2ydS8xIE3VctWVxnCY0x9D+EMmxAQeCUm5anlw==" saltValue="h65YAULND8ZlT23EA9OlOw==" spinCount="100000" sheet="1"/>
  <mergeCells count="68">
    <mergeCell ref="A45:C45"/>
    <mergeCell ref="W3:AB3"/>
    <mergeCell ref="W5:W12"/>
    <mergeCell ref="W13:W20"/>
    <mergeCell ref="B5:B12"/>
    <mergeCell ref="B13:B20"/>
    <mergeCell ref="B3:G3"/>
    <mergeCell ref="I3:N3"/>
    <mergeCell ref="I5:I12"/>
    <mergeCell ref="I13:I20"/>
    <mergeCell ref="P3:U3"/>
    <mergeCell ref="P5:P12"/>
    <mergeCell ref="P13:P20"/>
    <mergeCell ref="P24:U24"/>
    <mergeCell ref="P26:P33"/>
    <mergeCell ref="P34:P41"/>
    <mergeCell ref="W24:AB24"/>
    <mergeCell ref="W26:W33"/>
    <mergeCell ref="W34:W41"/>
    <mergeCell ref="B24:G24"/>
    <mergeCell ref="B26:B33"/>
    <mergeCell ref="B34:B41"/>
    <mergeCell ref="I24:N24"/>
    <mergeCell ref="I26:I33"/>
    <mergeCell ref="I34:I41"/>
    <mergeCell ref="E44:H44"/>
    <mergeCell ref="J44:M44"/>
    <mergeCell ref="O44:R44"/>
    <mergeCell ref="T44:W44"/>
    <mergeCell ref="E57:H57"/>
    <mergeCell ref="J57:M57"/>
    <mergeCell ref="O57:R57"/>
    <mergeCell ref="T57:W57"/>
    <mergeCell ref="AN44:AQ44"/>
    <mergeCell ref="AN57:AQ57"/>
    <mergeCell ref="E43:H43"/>
    <mergeCell ref="J43:M43"/>
    <mergeCell ref="O43:R43"/>
    <mergeCell ref="T43:W43"/>
    <mergeCell ref="Y43:AB43"/>
    <mergeCell ref="AD43:AG43"/>
    <mergeCell ref="AI43:AL43"/>
    <mergeCell ref="AN43:AQ43"/>
    <mergeCell ref="Y44:AB44"/>
    <mergeCell ref="AD44:AG44"/>
    <mergeCell ref="Y57:AB57"/>
    <mergeCell ref="AD57:AG57"/>
    <mergeCell ref="AI44:AL44"/>
    <mergeCell ref="AI57:AL57"/>
    <mergeCell ref="AN56:AQ56"/>
    <mergeCell ref="AI56:AL56"/>
    <mergeCell ref="AD56:AG56"/>
    <mergeCell ref="E56:H56"/>
    <mergeCell ref="J56:M56"/>
    <mergeCell ref="O56:R56"/>
    <mergeCell ref="T56:W56"/>
    <mergeCell ref="Y56:AB56"/>
    <mergeCell ref="B96:L97"/>
    <mergeCell ref="B70:L71"/>
    <mergeCell ref="B82:L83"/>
    <mergeCell ref="B90:L91"/>
    <mergeCell ref="W70:Z70"/>
    <mergeCell ref="N70:R71"/>
    <mergeCell ref="B73:B76"/>
    <mergeCell ref="B77:B80"/>
    <mergeCell ref="S70:V70"/>
    <mergeCell ref="B85:B86"/>
    <mergeCell ref="B87:B88"/>
  </mergeCells>
  <conditionalFormatting sqref="N70 B70 B82 B90 B96">
    <cfRule type="notContainsBlanks" dxfId="80" priority="5" stopIfTrue="1">
      <formula>LEN(TRIM(B70))&gt;0</formula>
    </cfRule>
  </conditionalFormatting>
  <conditionalFormatting sqref="B3 I3 P3 W3 B24 I24 P24 W24">
    <cfRule type="notContainsBlanks" dxfId="79" priority="3" stopIfTrue="1">
      <formula>LEN(TRIM(B3))&gt;0</formula>
    </cfRule>
  </conditionalFormatting>
  <conditionalFormatting sqref="B73 B85 B93 B99 B5 B26 I26 I5 P5 W5 W26 P26 E43:H44 J43:M44 O43:R44 T43:W44 Y43:AB44 AD43:AG44 AI43:AL44 AN43:AQ44 S70:V71">
    <cfRule type="notContainsBlanks" dxfId="78" priority="2" stopIfTrue="1">
      <formula>LEN(TRIM(B5))&gt;0</formula>
    </cfRule>
  </conditionalFormatting>
  <conditionalFormatting sqref="E56:H57 J56:M57 O56:R57 T56:W57 Y56:AB57 AD56:AG57 AI56:AL57 AN56:AQ57 W70:Z71 B13 I13 P13 W13 W34 P34 I34 B34 B77 B87 B94 B100">
    <cfRule type="notContainsBlanks" dxfId="77" priority="1" stopIfTrue="1">
      <formula>LEN(TRIM(B13))&gt;0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rgb="FF92D050"/>
  </sheetPr>
  <dimension ref="A1:U283"/>
  <sheetViews>
    <sheetView showFormulas="1" topLeftCell="C94" zoomScaleNormal="100" workbookViewId="0">
      <selection activeCell="C1" sqref="A1:XFD1048576"/>
    </sheetView>
    <sheetView tabSelected="1" topLeftCell="A179" workbookViewId="1">
      <selection activeCell="A225" sqref="A225:XFD228"/>
    </sheetView>
  </sheetViews>
  <sheetFormatPr defaultColWidth="11.42578125" defaultRowHeight="12.75" x14ac:dyDescent="0.2"/>
  <cols>
    <col min="1" max="2" width="2.7109375" customWidth="1"/>
    <col min="3" max="3" width="15.28515625" bestFit="1" customWidth="1"/>
    <col min="4" max="4" width="5.42578125" customWidth="1"/>
    <col min="5" max="5" width="10.42578125" customWidth="1"/>
    <col min="6" max="6" width="1.7109375" customWidth="1"/>
    <col min="7" max="15" width="11.42578125" customWidth="1"/>
    <col min="16" max="16" width="10.42578125" customWidth="1"/>
    <col min="17" max="17" width="1.7109375" customWidth="1"/>
    <col min="18" max="20" width="11.42578125" customWidth="1"/>
    <col min="21" max="21" width="2.7109375" customWidth="1"/>
  </cols>
  <sheetData>
    <row r="1" spans="1:21" s="42" customFormat="1" ht="18" customHeight="1" thickTop="1" x14ac:dyDescent="0.25">
      <c r="A1" s="139"/>
      <c r="B1" s="140"/>
      <c r="C1" s="140"/>
      <c r="D1" s="140"/>
      <c r="E1" s="140"/>
      <c r="F1" s="140"/>
      <c r="G1" s="140"/>
      <c r="H1" s="140"/>
      <c r="I1" s="140"/>
      <c r="J1" s="671" t="s">
        <v>314</v>
      </c>
      <c r="K1" s="671"/>
      <c r="L1" s="671"/>
      <c r="M1" s="671"/>
      <c r="N1" s="671"/>
      <c r="O1" s="140"/>
      <c r="P1" s="140"/>
      <c r="Q1" s="140"/>
      <c r="R1" s="140"/>
      <c r="S1" s="140"/>
      <c r="T1" s="140"/>
      <c r="U1" s="141"/>
    </row>
    <row r="2" spans="1:21" s="42" customFormat="1" ht="13.5" customHeight="1" x14ac:dyDescent="0.25">
      <c r="A2" s="142"/>
      <c r="B2" s="143"/>
      <c r="C2" s="143"/>
      <c r="D2" s="143"/>
      <c r="E2" s="143"/>
      <c r="F2" s="143"/>
      <c r="G2" s="143"/>
      <c r="H2" s="143"/>
      <c r="I2" s="143"/>
      <c r="J2" s="144"/>
      <c r="K2" s="672" t="s">
        <v>539</v>
      </c>
      <c r="L2" s="672"/>
      <c r="M2" s="672"/>
      <c r="N2" s="144"/>
      <c r="O2" s="682" t="s">
        <v>315</v>
      </c>
      <c r="P2" s="682"/>
      <c r="Q2" s="246" t="s">
        <v>316</v>
      </c>
      <c r="R2" s="243">
        <f>H_ESM_REV_NO</f>
        <v>74</v>
      </c>
      <c r="S2" s="246" t="s">
        <v>317</v>
      </c>
      <c r="T2" s="313"/>
      <c r="U2" s="252"/>
    </row>
    <row r="3" spans="1:21" s="42" customFormat="1" ht="13.5" customHeight="1" thickBot="1" x14ac:dyDescent="0.25">
      <c r="A3" s="142"/>
      <c r="B3" s="143"/>
      <c r="C3" s="143"/>
      <c r="D3" s="143"/>
      <c r="E3" s="143"/>
      <c r="F3" s="143"/>
      <c r="G3" s="143"/>
      <c r="H3" s="143"/>
      <c r="I3" s="143"/>
      <c r="J3" s="143"/>
      <c r="K3" s="681"/>
      <c r="L3" s="681"/>
      <c r="M3" s="681"/>
      <c r="N3" s="143"/>
      <c r="O3" s="243"/>
      <c r="P3" s="243"/>
      <c r="Q3" s="243"/>
      <c r="R3" s="80"/>
      <c r="S3" s="80"/>
      <c r="T3" s="147" t="s">
        <v>318</v>
      </c>
      <c r="U3" s="148"/>
    </row>
    <row r="4" spans="1:21" s="42" customFormat="1" ht="13.5" customHeight="1" x14ac:dyDescent="0.2">
      <c r="A4" s="142"/>
      <c r="B4" s="143"/>
      <c r="C4" s="149"/>
      <c r="D4" s="682" t="s">
        <v>319</v>
      </c>
      <c r="E4" s="682"/>
      <c r="F4" s="246" t="s">
        <v>316</v>
      </c>
      <c r="G4" s="673" t="str">
        <f>H_ENGINE_TYPE</f>
        <v>CFM56_7B</v>
      </c>
      <c r="H4" s="673"/>
      <c r="I4" s="243"/>
      <c r="J4" s="143"/>
      <c r="K4" s="674" t="s">
        <v>540</v>
      </c>
      <c r="L4" s="675"/>
      <c r="M4" s="676"/>
      <c r="N4" s="143"/>
      <c r="O4" s="682" t="s">
        <v>320</v>
      </c>
      <c r="P4" s="682"/>
      <c r="Q4" s="246" t="s">
        <v>316</v>
      </c>
      <c r="R4" s="673" t="str">
        <f>H_TEST_NAME</f>
        <v>19-8053</v>
      </c>
      <c r="S4" s="673"/>
      <c r="T4" s="143"/>
      <c r="U4" s="148"/>
    </row>
    <row r="5" spans="1:21" s="42" customFormat="1" ht="13.5" customHeight="1" thickBot="1" x14ac:dyDescent="0.25">
      <c r="A5" s="142"/>
      <c r="B5" s="143"/>
      <c r="C5" s="150"/>
      <c r="D5" s="80"/>
      <c r="E5" s="80"/>
      <c r="F5" s="243"/>
      <c r="G5" s="243"/>
      <c r="H5" s="243"/>
      <c r="I5" s="243"/>
      <c r="J5" s="143"/>
      <c r="K5" s="677" t="s">
        <v>321</v>
      </c>
      <c r="L5" s="678"/>
      <c r="M5" s="679"/>
      <c r="N5" s="143"/>
      <c r="O5" s="243"/>
      <c r="P5" s="243"/>
      <c r="Q5" s="243"/>
      <c r="R5" s="243"/>
      <c r="S5" s="243"/>
      <c r="T5" s="143"/>
      <c r="U5" s="148"/>
    </row>
    <row r="6" spans="1:21" s="42" customFormat="1" ht="13.5" customHeight="1" x14ac:dyDescent="0.2">
      <c r="A6" s="142"/>
      <c r="B6" s="143"/>
      <c r="C6" s="149"/>
      <c r="D6" s="682" t="s">
        <v>322</v>
      </c>
      <c r="E6" s="682"/>
      <c r="F6" s="246" t="s">
        <v>316</v>
      </c>
      <c r="G6" s="673" t="str">
        <f>H_CUSTOMER_NAME</f>
        <v>AFR</v>
      </c>
      <c r="H6" s="673"/>
      <c r="I6" s="243"/>
      <c r="J6" s="143"/>
      <c r="K6" s="143"/>
      <c r="L6" s="143"/>
      <c r="M6" s="143"/>
      <c r="N6" s="143"/>
      <c r="O6" s="682" t="s">
        <v>323</v>
      </c>
      <c r="P6" s="682"/>
      <c r="Q6" s="246" t="s">
        <v>316</v>
      </c>
      <c r="R6" s="673" t="str">
        <f>H_OIL_TYPE</f>
        <v>EX2380</v>
      </c>
      <c r="S6" s="673"/>
      <c r="T6" s="143"/>
      <c r="U6" s="148"/>
    </row>
    <row r="7" spans="1:21" s="42" customFormat="1" ht="13.5" customHeight="1" x14ac:dyDescent="0.2">
      <c r="A7" s="142"/>
      <c r="B7" s="143"/>
      <c r="C7" s="150"/>
      <c r="D7" s="80"/>
      <c r="E7" s="80"/>
      <c r="F7" s="243"/>
      <c r="G7" s="243"/>
      <c r="H7" s="243"/>
      <c r="I7" s="243"/>
      <c r="J7" s="143"/>
      <c r="K7" s="143"/>
      <c r="L7" s="143"/>
      <c r="M7" s="143"/>
      <c r="N7" s="143"/>
      <c r="O7" s="243"/>
      <c r="P7" s="243"/>
      <c r="Q7" s="243"/>
      <c r="R7" s="243"/>
      <c r="S7" s="243"/>
      <c r="T7" s="143"/>
      <c r="U7" s="148"/>
    </row>
    <row r="8" spans="1:21" s="42" customFormat="1" ht="13.5" customHeight="1" x14ac:dyDescent="0.2">
      <c r="A8" s="142"/>
      <c r="B8" s="143"/>
      <c r="C8" s="149"/>
      <c r="D8" s="682" t="s">
        <v>324</v>
      </c>
      <c r="E8" s="682"/>
      <c r="F8" s="246" t="s">
        <v>316</v>
      </c>
      <c r="G8" s="673">
        <f>H_ENGINE_SERIAL_NO</f>
        <v>575499</v>
      </c>
      <c r="H8" s="673"/>
      <c r="I8" s="243"/>
      <c r="J8" s="143"/>
      <c r="K8" s="143"/>
      <c r="L8" s="143"/>
      <c r="M8" s="143"/>
      <c r="N8" s="143"/>
      <c r="O8" s="682" t="s">
        <v>325</v>
      </c>
      <c r="P8" s="682"/>
      <c r="Q8" s="246" t="s">
        <v>316</v>
      </c>
      <c r="R8" s="673" t="str">
        <f>H_ECU_SOFT</f>
        <v>5BT.F1</v>
      </c>
      <c r="S8" s="673"/>
      <c r="T8" s="143"/>
      <c r="U8" s="148"/>
    </row>
    <row r="9" spans="1:21" s="42" customFormat="1" ht="13.5" customHeight="1" x14ac:dyDescent="0.2">
      <c r="A9" s="142"/>
      <c r="B9" s="143"/>
      <c r="C9" s="150"/>
      <c r="D9" s="80"/>
      <c r="E9" s="80"/>
      <c r="F9" s="243"/>
      <c r="G9" s="243"/>
      <c r="H9" s="243"/>
      <c r="I9" s="243"/>
      <c r="J9" s="143"/>
      <c r="K9" s="143"/>
      <c r="L9" s="143"/>
      <c r="M9" s="143"/>
      <c r="N9" s="143"/>
      <c r="O9" s="243"/>
      <c r="P9" s="243"/>
      <c r="Q9" s="243"/>
      <c r="R9" s="243"/>
      <c r="S9" s="243"/>
      <c r="T9" s="143"/>
      <c r="U9" s="148"/>
    </row>
    <row r="10" spans="1:21" s="42" customFormat="1" ht="13.5" customHeight="1" x14ac:dyDescent="0.2">
      <c r="A10" s="142"/>
      <c r="B10" s="143"/>
      <c r="C10" s="149"/>
      <c r="D10" s="682" t="s">
        <v>458</v>
      </c>
      <c r="E10" s="682"/>
      <c r="F10" s="296" t="s">
        <v>316</v>
      </c>
      <c r="G10" s="673" t="str">
        <f>H_ENG_QUALITY_REPAIR</f>
        <v>NQSV</v>
      </c>
      <c r="H10" s="673"/>
      <c r="I10" s="673"/>
      <c r="J10" s="143"/>
      <c r="K10" s="143"/>
      <c r="L10" s="143"/>
      <c r="M10" s="143"/>
      <c r="N10" s="143"/>
      <c r="O10" s="682" t="s">
        <v>326</v>
      </c>
      <c r="P10" s="682"/>
      <c r="Q10" s="246" t="s">
        <v>316</v>
      </c>
      <c r="R10" s="673" t="str">
        <f>H_EXHAUST_NOZZLE</f>
        <v>Flight</v>
      </c>
      <c r="S10" s="673"/>
      <c r="T10" s="143"/>
      <c r="U10" s="148"/>
    </row>
    <row r="11" spans="1:21" s="42" customFormat="1" ht="13.5" customHeight="1" x14ac:dyDescent="0.2">
      <c r="A11" s="142"/>
      <c r="B11" s="143"/>
      <c r="C11" s="149"/>
      <c r="D11" s="80"/>
      <c r="E11" s="80"/>
      <c r="F11" s="243"/>
      <c r="G11" s="243"/>
      <c r="H11" s="243"/>
      <c r="I11" s="243"/>
      <c r="J11" s="143"/>
      <c r="K11" s="143"/>
      <c r="L11" s="143"/>
      <c r="M11" s="143"/>
      <c r="N11" s="143"/>
      <c r="O11" s="243"/>
      <c r="P11" s="243"/>
      <c r="Q11" s="243"/>
      <c r="R11" s="243"/>
      <c r="S11" s="243"/>
      <c r="T11" s="143"/>
      <c r="U11" s="148"/>
    </row>
    <row r="12" spans="1:21" s="42" customFormat="1" ht="13.5" customHeight="1" x14ac:dyDescent="0.2">
      <c r="A12" s="142"/>
      <c r="B12" s="143"/>
      <c r="C12" s="149"/>
      <c r="D12" s="682" t="s">
        <v>327</v>
      </c>
      <c r="E12" s="682"/>
      <c r="F12" s="246" t="s">
        <v>316</v>
      </c>
      <c r="G12" s="673" t="str">
        <f>H_TEST_TYPE</f>
        <v>Performance Test</v>
      </c>
      <c r="H12" s="673"/>
      <c r="I12" s="673"/>
      <c r="J12" s="143"/>
      <c r="K12" s="143"/>
      <c r="L12" s="143"/>
      <c r="M12" s="143"/>
      <c r="N12" s="143"/>
      <c r="O12" s="682" t="s">
        <v>328</v>
      </c>
      <c r="P12" s="682"/>
      <c r="Q12" s="246" t="s">
        <v>316</v>
      </c>
      <c r="R12" s="680">
        <f>H_TEST_DATE</f>
        <v>43729.338773148149</v>
      </c>
      <c r="S12" s="680"/>
      <c r="T12" s="143"/>
      <c r="U12" s="148"/>
    </row>
    <row r="13" spans="1:21" s="42" customFormat="1" ht="13.5" customHeight="1" thickBot="1" x14ac:dyDescent="0.25">
      <c r="A13" s="151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3"/>
    </row>
    <row r="14" spans="1:21" s="42" customFormat="1" ht="13.5" thickTop="1" x14ac:dyDescent="0.2">
      <c r="A14" s="143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</row>
    <row r="15" spans="1:21" s="42" customFormat="1" ht="16.5" customHeight="1" x14ac:dyDescent="0.25">
      <c r="A15" s="143"/>
      <c r="B15" s="639"/>
      <c r="C15" s="639"/>
      <c r="D15" s="639"/>
      <c r="E15" s="639"/>
      <c r="F15" s="639"/>
      <c r="G15" s="639"/>
      <c r="H15" s="653" t="s">
        <v>526</v>
      </c>
      <c r="I15" s="654"/>
      <c r="J15" s="655" t="s">
        <v>527</v>
      </c>
      <c r="K15" s="654"/>
      <c r="L15" s="655" t="s">
        <v>525</v>
      </c>
      <c r="M15" s="654"/>
      <c r="N15" s="655" t="s">
        <v>441</v>
      </c>
      <c r="O15" s="654"/>
      <c r="P15" s="655" t="s">
        <v>525</v>
      </c>
      <c r="Q15" s="653"/>
      <c r="R15" s="654"/>
      <c r="S15" s="655" t="s">
        <v>441</v>
      </c>
      <c r="T15" s="653"/>
      <c r="U15" s="244"/>
    </row>
    <row r="16" spans="1:21" s="42" customFormat="1" ht="12.75" customHeight="1" x14ac:dyDescent="0.25">
      <c r="A16" s="143"/>
      <c r="B16" s="293"/>
      <c r="C16" s="293"/>
      <c r="D16" s="293"/>
      <c r="E16" s="293"/>
      <c r="F16" s="293"/>
      <c r="G16" s="293"/>
      <c r="H16" s="639"/>
      <c r="I16" s="640"/>
      <c r="J16" s="638"/>
      <c r="K16" s="640"/>
      <c r="L16" s="638" cm="1">
        <f t="array" ref="L16" xml:space="preserve"> VLOOKUP(C_Engine_Rating S_maxi_continu1, enum_list!$A$2:$F$102,3,1)</f>
        <v>0</v>
      </c>
      <c r="M16" s="640"/>
      <c r="N16" s="638" cm="1">
        <f t="array" ref="N16" xml:space="preserve"> VLOOKUP(C_Engine_Rating S_take_off1, enum_list!$A$2:$F$102,3,1)</f>
        <v>0</v>
      </c>
      <c r="O16" s="640"/>
      <c r="P16" s="641" t="str" cm="1">
        <f t="array" ref="P16">IF('RATINGS QUESTION'!$K$5="YES","N/A",VLOOKUP(C_Engine_Rating S_maxi_continu2, enum_list!$A$2:$F$102,3,1))</f>
        <v>N/A</v>
      </c>
      <c r="Q16" s="642"/>
      <c r="R16" s="643"/>
      <c r="S16" s="638" t="str" cm="1">
        <f t="array" ref="S16">IF('RATINGS QUESTION'!$K$5="YES","N/A",VLOOKUP(C_Engine_Rating S_take_off2, enum_list!$A$2:$F$102,3,1))</f>
        <v>N/A</v>
      </c>
      <c r="T16" s="639"/>
      <c r="U16" s="290"/>
    </row>
    <row r="17" spans="1:21" s="42" customFormat="1" ht="12.75" customHeight="1" thickBot="1" x14ac:dyDescent="0.3">
      <c r="A17" s="143"/>
      <c r="B17" s="294"/>
      <c r="C17" s="294"/>
      <c r="D17" s="294"/>
      <c r="E17" s="294"/>
      <c r="F17" s="294"/>
      <c r="G17" s="294"/>
      <c r="H17" s="290"/>
      <c r="I17" s="292"/>
      <c r="J17" s="291"/>
      <c r="K17" s="292"/>
      <c r="L17" s="291"/>
      <c r="M17" s="292"/>
      <c r="N17" s="291"/>
      <c r="O17" s="292"/>
      <c r="P17" s="291"/>
      <c r="Q17" s="290"/>
      <c r="R17" s="292"/>
      <c r="S17" s="291"/>
      <c r="T17" s="290"/>
      <c r="U17" s="290"/>
    </row>
    <row r="18" spans="1:21" s="42" customFormat="1" ht="16.5" thickBot="1" x14ac:dyDescent="0.25">
      <c r="A18" s="143"/>
      <c r="B18" s="649" t="s">
        <v>529</v>
      </c>
      <c r="C18" s="650"/>
      <c r="D18" s="650"/>
      <c r="E18" s="650"/>
      <c r="F18" s="650"/>
      <c r="G18" s="661"/>
      <c r="H18" s="638"/>
      <c r="I18" s="640"/>
      <c r="J18" s="638"/>
      <c r="K18" s="640"/>
      <c r="L18" s="638"/>
      <c r="M18" s="640"/>
      <c r="N18" s="638"/>
      <c r="O18" s="640"/>
      <c r="P18" s="684"/>
      <c r="Q18" s="685"/>
      <c r="R18" s="686"/>
      <c r="S18" s="638"/>
      <c r="T18" s="639"/>
      <c r="U18" s="143"/>
    </row>
    <row r="19" spans="1:21" s="42" customFormat="1" ht="12.75" customHeight="1" x14ac:dyDescent="0.2">
      <c r="A19" s="143"/>
      <c r="B19" s="143"/>
      <c r="C19" s="160"/>
      <c r="D19" s="160"/>
      <c r="E19" s="160"/>
      <c r="F19" s="160"/>
      <c r="G19" s="160"/>
      <c r="H19" s="161"/>
      <c r="I19" s="143"/>
      <c r="J19" s="158"/>
      <c r="K19" s="159"/>
      <c r="L19" s="158"/>
      <c r="M19" s="159"/>
      <c r="N19" s="158"/>
      <c r="O19" s="159"/>
      <c r="P19" s="158"/>
      <c r="Q19" s="143"/>
      <c r="R19" s="159"/>
      <c r="S19" s="143"/>
      <c r="U19" s="143"/>
    </row>
    <row r="20" spans="1:21" s="42" customFormat="1" ht="12.75" customHeight="1" x14ac:dyDescent="0.2">
      <c r="A20" s="143"/>
      <c r="B20" s="143"/>
      <c r="C20" s="162" t="s">
        <v>32</v>
      </c>
      <c r="D20" s="160"/>
      <c r="E20" s="241" t="s">
        <v>329</v>
      </c>
      <c r="F20" s="160"/>
      <c r="G20" s="160"/>
      <c r="H20" s="688" cm="1">
        <f t="array" ref="H20">C_N1R S_mini_idle</f>
        <v>0</v>
      </c>
      <c r="I20" s="687"/>
      <c r="J20" s="688" cm="1">
        <f t="array" ref="J20">C_N1R S_approach_idle</f>
        <v>0</v>
      </c>
      <c r="K20" s="687"/>
      <c r="L20" s="688" cm="1">
        <f t="array" ref="L20">C_N1R S_maxi_continu1</f>
        <v>0</v>
      </c>
      <c r="M20" s="687"/>
      <c r="N20" s="688" cm="1">
        <f t="array" ref="N20">C_N1R S_take_off1</f>
        <v>0</v>
      </c>
      <c r="O20" s="687"/>
      <c r="P20" s="688" t="str" cm="1">
        <f t="array" ref="P20">IF('RATINGS QUESTION'!$K$5="YES","N/A", C_N1R S_maxi_continu2)</f>
        <v>N/A</v>
      </c>
      <c r="Q20" s="689"/>
      <c r="R20" s="687"/>
      <c r="S20" s="688" t="str" cm="1">
        <f t="array" ref="S20">IF('RATINGS QUESTION'!$K$5="YES","N/A", C_N1R S_take_off2)</f>
        <v>N/A</v>
      </c>
      <c r="T20" s="689"/>
      <c r="U20" s="143"/>
    </row>
    <row r="21" spans="1:21" s="42" customFormat="1" ht="12.75" customHeight="1" x14ac:dyDescent="0.2">
      <c r="A21" s="143"/>
      <c r="B21" s="143"/>
      <c r="C21" s="162" t="s">
        <v>31</v>
      </c>
      <c r="D21" s="160"/>
      <c r="E21" s="241" t="s">
        <v>329</v>
      </c>
      <c r="F21" s="160"/>
      <c r="G21" s="160"/>
      <c r="H21" s="636" t="s">
        <v>1</v>
      </c>
      <c r="I21" s="687"/>
      <c r="J21" s="636" t="s">
        <v>1</v>
      </c>
      <c r="K21" s="687"/>
      <c r="L21" s="688" cm="1">
        <f t="array" ref="L21">C_N1K S_maxi_continu1</f>
        <v>0</v>
      </c>
      <c r="M21" s="687"/>
      <c r="N21" s="688" cm="1">
        <f t="array" ref="N21">C_N1K S_take_off1</f>
        <v>0</v>
      </c>
      <c r="O21" s="687"/>
      <c r="P21" s="688" t="str" cm="1">
        <f t="array" ref="P21">IF('RATINGS QUESTION'!$K$5="YES","N/A", C_N1K S_maxi_continu2)</f>
        <v>N/A</v>
      </c>
      <c r="Q21" s="689"/>
      <c r="R21" s="687"/>
      <c r="S21" s="688" t="str" cm="1">
        <f t="array" ref="S21">IF('RATINGS QUESTION'!$K$5="YES","N/A", C_N1K S_take_off2)</f>
        <v>N/A</v>
      </c>
      <c r="T21" s="689"/>
      <c r="U21" s="143"/>
    </row>
    <row r="22" spans="1:21" s="42" customFormat="1" x14ac:dyDescent="0.2">
      <c r="A22" s="143"/>
      <c r="B22" s="143"/>
      <c r="C22" s="162" t="s">
        <v>560</v>
      </c>
      <c r="D22" s="162"/>
      <c r="E22" s="241" t="s">
        <v>329</v>
      </c>
      <c r="F22" s="241"/>
      <c r="G22" s="143"/>
      <c r="H22" s="636" t="s">
        <v>1</v>
      </c>
      <c r="I22" s="687"/>
      <c r="J22" s="636" t="s">
        <v>1</v>
      </c>
      <c r="K22" s="687"/>
      <c r="L22" s="688" cm="1">
        <f t="array" ref="L22">C_N2K S_maxi_continu1</f>
        <v>0</v>
      </c>
      <c r="M22" s="687"/>
      <c r="N22" s="688" cm="1">
        <f t="array" ref="N22">C_N2K S_take_off1</f>
        <v>0</v>
      </c>
      <c r="O22" s="687"/>
      <c r="P22" s="688" t="str" cm="1">
        <f t="array" ref="P22">IF('RATINGS QUESTION'!$K$5="YES","N/A", C_N2K S_maxi_continu2)</f>
        <v>N/A</v>
      </c>
      <c r="Q22" s="689"/>
      <c r="R22" s="687"/>
      <c r="S22" s="688" t="str" cm="1">
        <f t="array" ref="S22">IF('RATINGS QUESTION'!$K$5="YES","N/A", C_N2K S_take_off2)</f>
        <v>N/A</v>
      </c>
      <c r="T22" s="689"/>
      <c r="U22" s="143"/>
    </row>
    <row r="23" spans="1:21" s="42" customFormat="1" x14ac:dyDescent="0.2">
      <c r="A23" s="143"/>
      <c r="B23" s="143"/>
      <c r="C23" s="162" t="s">
        <v>556</v>
      </c>
      <c r="D23" s="162"/>
      <c r="E23" s="241" t="s">
        <v>330</v>
      </c>
      <c r="F23" s="241"/>
      <c r="G23" s="143"/>
      <c r="H23" s="636" t="s">
        <v>1</v>
      </c>
      <c r="I23" s="687"/>
      <c r="J23" s="636" t="s">
        <v>1</v>
      </c>
      <c r="K23" s="687"/>
      <c r="L23" s="688" cm="1">
        <f t="array" ref="L23">C_FNK S_maxi_continu1</f>
        <v>0</v>
      </c>
      <c r="M23" s="687"/>
      <c r="N23" s="688" cm="1">
        <f t="array" ref="N23">C_FNK S_take_off1</f>
        <v>0</v>
      </c>
      <c r="O23" s="687"/>
      <c r="P23" s="688" t="str" cm="1">
        <f t="array" ref="P23">IF('RATINGS QUESTION'!$K$5="YES","N/A", C_FNK S_maxi_continu2)</f>
        <v>N/A</v>
      </c>
      <c r="Q23" s="689"/>
      <c r="R23" s="687"/>
      <c r="S23" s="688" t="str" cm="1">
        <f t="array" ref="S23">IF('RATINGS QUESTION'!$K$5="YES","N/A", C_FNK S_take_off2)</f>
        <v>N/A</v>
      </c>
      <c r="T23" s="689"/>
      <c r="U23" s="143"/>
    </row>
    <row r="24" spans="1:21" s="42" customFormat="1" x14ac:dyDescent="0.2">
      <c r="A24" s="143"/>
      <c r="B24" s="143"/>
      <c r="C24" s="162" t="s">
        <v>557</v>
      </c>
      <c r="D24" s="162"/>
      <c r="E24" s="241" t="s">
        <v>331</v>
      </c>
      <c r="F24" s="241"/>
      <c r="G24" s="143"/>
      <c r="H24" s="690" t="s">
        <v>1</v>
      </c>
      <c r="I24" s="691"/>
      <c r="J24" s="690" t="s">
        <v>1</v>
      </c>
      <c r="K24" s="691"/>
      <c r="L24" s="692" cm="1">
        <f t="array" ref="L24">C_EGTK S_maxi_continu1</f>
        <v>0</v>
      </c>
      <c r="M24" s="693"/>
      <c r="N24" s="692" cm="1">
        <f t="array" ref="N24">C_EGTK S_take_off1</f>
        <v>0</v>
      </c>
      <c r="O24" s="693"/>
      <c r="P24" s="692" t="str" cm="1">
        <f t="array" ref="P24">IF('RATINGS QUESTION'!$K$5="YES","N/A", C_EGTK S_maxi_continu2)</f>
        <v>N/A</v>
      </c>
      <c r="Q24" s="694"/>
      <c r="R24" s="693"/>
      <c r="S24" s="692" t="str" cm="1">
        <f t="array" ref="S24">IF('RATINGS QUESTION'!$K$5="YES","N/A", C_EGTK S_take_off2)</f>
        <v>N/A</v>
      </c>
      <c r="T24" s="694"/>
      <c r="U24" s="143"/>
    </row>
    <row r="25" spans="1:21" s="42" customFormat="1" x14ac:dyDescent="0.2">
      <c r="A25" s="143"/>
      <c r="B25" s="143"/>
      <c r="C25" s="162" t="s">
        <v>563</v>
      </c>
      <c r="D25" s="162"/>
      <c r="E25" s="241" t="s">
        <v>356</v>
      </c>
      <c r="F25" s="241"/>
      <c r="G25" s="143"/>
      <c r="H25" s="690" t="s">
        <v>1</v>
      </c>
      <c r="I25" s="691"/>
      <c r="J25" s="690" t="s">
        <v>1</v>
      </c>
      <c r="K25" s="691"/>
      <c r="L25" s="688" cm="1">
        <f t="array" ref="L25">C_WFK S_maxi_continu1</f>
        <v>0</v>
      </c>
      <c r="M25" s="687"/>
      <c r="N25" s="688" cm="1">
        <f t="array" ref="N25">C_WFK S_take_off1</f>
        <v>0</v>
      </c>
      <c r="O25" s="687"/>
      <c r="P25" s="688" t="str" cm="1">
        <f t="array" ref="P25">IF('RATINGS QUESTION'!$K$5="YES","N/A", C_WFK S_maxi_continu2)</f>
        <v>N/A</v>
      </c>
      <c r="Q25" s="689"/>
      <c r="R25" s="687"/>
      <c r="S25" s="688" t="str" cm="1">
        <f t="array" ref="S25">IF('RATINGS QUESTION'!$K$5="YES","N/A", C_WFK S_take_off2)</f>
        <v>N/A</v>
      </c>
      <c r="T25" s="689"/>
      <c r="U25" s="143"/>
    </row>
    <row r="26" spans="1:21" s="42" customFormat="1" x14ac:dyDescent="0.2">
      <c r="A26" s="143"/>
      <c r="B26" s="143"/>
      <c r="C26" s="162" t="s">
        <v>564</v>
      </c>
      <c r="D26" s="162"/>
      <c r="E26" s="241" t="s">
        <v>332</v>
      </c>
      <c r="F26" s="241"/>
      <c r="G26" s="143"/>
      <c r="H26" s="690" t="s">
        <v>1</v>
      </c>
      <c r="I26" s="691"/>
      <c r="J26" s="690" t="s">
        <v>1</v>
      </c>
      <c r="K26" s="691"/>
      <c r="L26" s="690" t="e">
        <f>L25/L23</f>
        <v>#DIV/0!</v>
      </c>
      <c r="M26" s="691"/>
      <c r="N26" s="690" t="e">
        <f>N25/N23</f>
        <v>#DIV/0!</v>
      </c>
      <c r="O26" s="691"/>
      <c r="P26" s="690" t="str">
        <f>IF('RATINGS QUESTION'!$K$5="YES","N/A",P25/P23)</f>
        <v>N/A</v>
      </c>
      <c r="Q26" s="698"/>
      <c r="R26" s="691"/>
      <c r="S26" s="690" t="str">
        <f>IF('RATINGS QUESTION'!$K$5="YES","N/A",S25/S23)</f>
        <v>N/A</v>
      </c>
      <c r="T26" s="698"/>
      <c r="U26" s="143"/>
    </row>
    <row r="27" spans="1:21" s="42" customFormat="1" x14ac:dyDescent="0.2">
      <c r="A27" s="143"/>
      <c r="B27" s="143"/>
      <c r="C27" s="162" t="s">
        <v>333</v>
      </c>
      <c r="D27" s="162"/>
      <c r="E27" s="298" t="s">
        <v>3</v>
      </c>
      <c r="F27" s="241"/>
      <c r="G27" s="143"/>
      <c r="H27" s="688" t="s">
        <v>1</v>
      </c>
      <c r="I27" s="687"/>
      <c r="J27" s="688" t="s">
        <v>1</v>
      </c>
      <c r="K27" s="687"/>
      <c r="L27" s="695" cm="1">
        <f t="array" ref="L27">C_FNK_MC_MAR S_maxi_continu1</f>
        <v>0</v>
      </c>
      <c r="M27" s="696"/>
      <c r="N27" s="695" cm="1">
        <f t="array" ref="N27">C_FNK_TO_MAR S_take_off1</f>
        <v>0</v>
      </c>
      <c r="O27" s="696"/>
      <c r="P27" s="695" t="str" cm="1">
        <f t="array" ref="P27">IF('RATINGS QUESTION'!$K$5="YES","N/A", C_FNK_MC_MAR S_maxi_continu2)</f>
        <v>N/A</v>
      </c>
      <c r="Q27" s="697"/>
      <c r="R27" s="696"/>
      <c r="S27" s="695" t="str" cm="1">
        <f t="array" ref="S27">IF('RATINGS QUESTION'!$K$5="YES","N/A", C_FNK_TO_MAR S_take_off2)</f>
        <v>N/A</v>
      </c>
      <c r="T27" s="697"/>
      <c r="U27" s="143"/>
    </row>
    <row r="28" spans="1:21" s="42" customFormat="1" x14ac:dyDescent="0.2">
      <c r="A28" s="143"/>
      <c r="B28" s="143"/>
      <c r="C28" s="162" t="s">
        <v>334</v>
      </c>
      <c r="D28" s="162"/>
      <c r="E28" s="241" t="s">
        <v>330</v>
      </c>
      <c r="F28" s="241"/>
      <c r="G28" s="143"/>
      <c r="H28" s="688" t="s">
        <v>1</v>
      </c>
      <c r="I28" s="687"/>
      <c r="J28" s="688" t="s">
        <v>1</v>
      </c>
      <c r="K28" s="687"/>
      <c r="L28" s="688" cm="1">
        <f t="array" ref="L28">C_FNK_MC_LO S_maxi_continu1</f>
        <v>0</v>
      </c>
      <c r="M28" s="687"/>
      <c r="N28" s="688" cm="1">
        <f t="array" ref="N28">C_FNK_TO_LO S_take_off1</f>
        <v>0</v>
      </c>
      <c r="O28" s="687"/>
      <c r="P28" s="688" t="str" cm="1">
        <f t="array" ref="P28">IF('RATINGS QUESTION'!$K$5="YES","N/A", C_FNK_MC_LO S_maxi_continu2)</f>
        <v>N/A</v>
      </c>
      <c r="Q28" s="689"/>
      <c r="R28" s="687"/>
      <c r="S28" s="688" t="str" cm="1">
        <f t="array" ref="S28">IF('RATINGS QUESTION'!$K$5="YES","N/A", C_FNK_TO_LO S_take_off2)</f>
        <v>N/A</v>
      </c>
      <c r="T28" s="689"/>
      <c r="U28" s="143"/>
    </row>
    <row r="29" spans="1:21" s="42" customFormat="1" ht="13.5" thickBot="1" x14ac:dyDescent="0.25">
      <c r="A29" s="143"/>
      <c r="B29" s="143"/>
      <c r="C29" s="162"/>
      <c r="D29" s="162"/>
      <c r="E29" s="241"/>
      <c r="F29" s="241"/>
      <c r="G29" s="143"/>
      <c r="H29" s="158"/>
      <c r="I29" s="143"/>
      <c r="J29" s="158"/>
      <c r="K29" s="159"/>
      <c r="L29" s="158"/>
      <c r="M29" s="159"/>
      <c r="N29" s="638"/>
      <c r="O29" s="640"/>
      <c r="P29" s="158"/>
      <c r="Q29" s="143"/>
      <c r="R29" s="159"/>
      <c r="S29" s="245"/>
      <c r="U29" s="143"/>
    </row>
    <row r="30" spans="1:21" s="42" customFormat="1" ht="16.5" thickBot="1" x14ac:dyDescent="0.25">
      <c r="A30" s="143"/>
      <c r="B30" s="649" t="s">
        <v>530</v>
      </c>
      <c r="C30" s="650"/>
      <c r="D30" s="650"/>
      <c r="E30" s="650"/>
      <c r="F30" s="650"/>
      <c r="G30" s="661"/>
      <c r="H30" s="157"/>
      <c r="I30" s="143"/>
      <c r="J30" s="158"/>
      <c r="K30" s="159"/>
      <c r="L30" s="158"/>
      <c r="M30" s="159"/>
      <c r="N30" s="638"/>
      <c r="O30" s="640"/>
      <c r="P30" s="158"/>
      <c r="Q30" s="143"/>
      <c r="R30" s="159"/>
      <c r="S30" s="245"/>
      <c r="U30" s="143"/>
    </row>
    <row r="31" spans="1:21" s="42" customFormat="1" ht="12.75" customHeight="1" x14ac:dyDescent="0.2">
      <c r="A31" s="143"/>
      <c r="B31" s="143"/>
      <c r="C31" s="160"/>
      <c r="D31" s="160"/>
      <c r="E31" s="160"/>
      <c r="F31" s="160"/>
      <c r="G31" s="160"/>
      <c r="H31" s="161"/>
      <c r="I31" s="143"/>
      <c r="J31" s="158"/>
      <c r="K31" s="159"/>
      <c r="L31" s="158"/>
      <c r="M31" s="159"/>
      <c r="N31" s="638"/>
      <c r="O31" s="640"/>
      <c r="P31" s="158"/>
      <c r="Q31" s="143"/>
      <c r="R31" s="159"/>
      <c r="S31" s="245"/>
      <c r="U31" s="143"/>
    </row>
    <row r="32" spans="1:21" s="42" customFormat="1" x14ac:dyDescent="0.2">
      <c r="A32" s="143"/>
      <c r="B32" s="143"/>
      <c r="C32" s="162" t="s">
        <v>304</v>
      </c>
      <c r="D32" s="162"/>
      <c r="E32" s="241" t="s">
        <v>329</v>
      </c>
      <c r="F32" s="241"/>
      <c r="G32" s="143"/>
      <c r="H32" s="688" t="s">
        <v>1</v>
      </c>
      <c r="I32" s="687"/>
      <c r="J32" s="688" t="s">
        <v>1</v>
      </c>
      <c r="K32" s="687"/>
      <c r="L32" s="688" cm="1">
        <f t="array" ref="L32">C_N2R2HD S_maxi_continu1</f>
        <v>0</v>
      </c>
      <c r="M32" s="687"/>
      <c r="N32" s="688" cm="1">
        <f t="array" ref="N32">C_N2R2HD S_take_off1</f>
        <v>0</v>
      </c>
      <c r="O32" s="687"/>
      <c r="P32" s="688" t="str" cm="1">
        <f t="array" ref="P32">IF('RATINGS QUESTION'!$K$5="YES","N/A", C_N2R2HD S_maxi_continu2)</f>
        <v>N/A</v>
      </c>
      <c r="Q32" s="689"/>
      <c r="R32" s="687"/>
      <c r="S32" s="688" t="str" cm="1">
        <f t="array" ref="S32">IF('RATINGS QUESTION'!$K$5="YES","N/A", C_N2R2HD S_take_off2)</f>
        <v>N/A</v>
      </c>
      <c r="T32" s="689"/>
      <c r="U32" s="143"/>
    </row>
    <row r="33" spans="1:21" s="42" customFormat="1" x14ac:dyDescent="0.2">
      <c r="A33" s="143"/>
      <c r="B33" s="143"/>
      <c r="C33" s="162" t="s">
        <v>425</v>
      </c>
      <c r="D33" s="162"/>
      <c r="E33" s="241" t="s">
        <v>3</v>
      </c>
      <c r="F33" s="241"/>
      <c r="G33" s="143"/>
      <c r="H33" s="688" t="s">
        <v>1</v>
      </c>
      <c r="I33" s="687"/>
      <c r="J33" s="688" t="s">
        <v>1</v>
      </c>
      <c r="K33" s="687"/>
      <c r="L33" s="688" t="s">
        <v>1</v>
      </c>
      <c r="M33" s="687"/>
      <c r="N33" s="690" cm="1">
        <f t="array" ref="N33">C_N2HD_MAR S_take_off1</f>
        <v>0</v>
      </c>
      <c r="O33" s="691"/>
      <c r="P33" s="690" t="s">
        <v>1</v>
      </c>
      <c r="Q33" s="698"/>
      <c r="R33" s="691"/>
      <c r="S33" s="690" t="str" cm="1">
        <f t="array" ref="S33">IF('RATINGS QUESTION'!$K$5="YES","N/A", C_N2HD_MAR S_take_off2)</f>
        <v>N/A</v>
      </c>
      <c r="T33" s="698"/>
      <c r="U33" s="143"/>
    </row>
    <row r="34" spans="1:21" s="42" customFormat="1" x14ac:dyDescent="0.2">
      <c r="A34" s="143"/>
      <c r="B34" s="143"/>
      <c r="C34" s="162" t="s">
        <v>4</v>
      </c>
      <c r="D34" s="162"/>
      <c r="E34" s="241" t="s">
        <v>331</v>
      </c>
      <c r="F34" s="241"/>
      <c r="G34" s="143"/>
      <c r="H34" s="690" t="s">
        <v>1</v>
      </c>
      <c r="I34" s="691"/>
      <c r="J34" s="690" t="s">
        <v>1</v>
      </c>
      <c r="K34" s="691"/>
      <c r="L34" s="692" cm="1">
        <f t="array" ref="L34">C_EGTHD S_maxi_continu1</f>
        <v>0</v>
      </c>
      <c r="M34" s="693"/>
      <c r="N34" s="692" cm="1">
        <f t="array" ref="N34">C_EGTHD S_take_off1</f>
        <v>0</v>
      </c>
      <c r="O34" s="693"/>
      <c r="P34" s="692" t="str" cm="1">
        <f t="array" ref="P34">IF('RATINGS QUESTION'!$K$5="YES","N/A", C_EGTHD S_maxi_continu2)</f>
        <v>N/A</v>
      </c>
      <c r="Q34" s="694"/>
      <c r="R34" s="693"/>
      <c r="S34" s="692" t="str" cm="1">
        <f t="array" ref="S34">IF('RATINGS QUESTION'!$K$5="YES","N/A", C_EGTHD S_take_off2)</f>
        <v>N/A</v>
      </c>
      <c r="T34" s="694"/>
      <c r="U34" s="143"/>
    </row>
    <row r="35" spans="1:21" s="42" customFormat="1" ht="13.5" thickBot="1" x14ac:dyDescent="0.25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639"/>
      <c r="M35" s="639"/>
      <c r="N35" s="639"/>
      <c r="O35" s="639"/>
      <c r="P35" s="143"/>
      <c r="Q35" s="143"/>
      <c r="R35" s="143"/>
      <c r="S35" s="143"/>
      <c r="T35" s="143"/>
      <c r="U35" s="143"/>
    </row>
    <row r="36" spans="1:21" s="42" customFormat="1" ht="16.5" customHeight="1" thickBot="1" x14ac:dyDescent="0.25">
      <c r="A36" s="165"/>
      <c r="B36" s="705" t="s">
        <v>335</v>
      </c>
      <c r="C36" s="705"/>
      <c r="D36" s="705"/>
      <c r="E36" s="705"/>
      <c r="F36" s="705"/>
      <c r="G36" s="705"/>
      <c r="H36" s="705"/>
      <c r="I36" s="705"/>
      <c r="J36" s="705"/>
      <c r="K36" s="705"/>
      <c r="L36" s="706" t="s">
        <v>336</v>
      </c>
      <c r="M36" s="706"/>
      <c r="N36" s="706"/>
      <c r="O36" s="706"/>
      <c r="P36" s="706" t="s">
        <v>260</v>
      </c>
      <c r="Q36" s="706"/>
      <c r="R36" s="706"/>
      <c r="S36" s="706"/>
      <c r="T36" s="706"/>
      <c r="U36" s="166"/>
    </row>
    <row r="37" spans="1:21" s="42" customFormat="1" ht="13.5" thickBot="1" x14ac:dyDescent="0.25">
      <c r="A37" s="143"/>
      <c r="B37" s="143"/>
      <c r="C37" s="682"/>
      <c r="D37" s="682"/>
      <c r="E37" s="682"/>
      <c r="F37" s="682"/>
      <c r="G37" s="682"/>
      <c r="H37" s="143"/>
      <c r="I37" s="143"/>
      <c r="J37" s="143"/>
      <c r="K37" s="159"/>
      <c r="L37" s="158"/>
      <c r="M37" s="167" cm="1">
        <f t="array" ref="M37">C_tAcc1 S_Accel</f>
        <v>0</v>
      </c>
      <c r="N37" s="168" t="s">
        <v>337</v>
      </c>
      <c r="O37" s="169"/>
      <c r="P37" s="158"/>
      <c r="Q37" s="143"/>
      <c r="R37" s="35">
        <v>5</v>
      </c>
      <c r="S37" s="168" t="s">
        <v>337</v>
      </c>
      <c r="T37" s="80"/>
      <c r="U37" s="80"/>
    </row>
    <row r="38" spans="1:21" s="42" customFormat="1" ht="16.5" customHeight="1" thickBot="1" x14ac:dyDescent="0.25">
      <c r="A38" s="170"/>
      <c r="B38" s="705" t="s">
        <v>338</v>
      </c>
      <c r="C38" s="705"/>
      <c r="D38" s="705"/>
      <c r="E38" s="705"/>
      <c r="F38" s="705"/>
      <c r="G38" s="705"/>
      <c r="H38" s="705"/>
      <c r="I38" s="705"/>
      <c r="J38" s="705"/>
      <c r="K38" s="705"/>
      <c r="L38" s="706" t="s">
        <v>336</v>
      </c>
      <c r="M38" s="706"/>
      <c r="N38" s="706"/>
      <c r="O38" s="706"/>
      <c r="P38" s="706" t="s">
        <v>260</v>
      </c>
      <c r="Q38" s="706"/>
      <c r="R38" s="706"/>
      <c r="S38" s="706"/>
      <c r="T38" s="706"/>
      <c r="U38" s="166"/>
    </row>
    <row r="39" spans="1:21" s="42" customFormat="1" x14ac:dyDescent="0.2">
      <c r="A39" s="143"/>
      <c r="B39" s="143"/>
      <c r="C39" s="143"/>
      <c r="D39" s="143"/>
      <c r="E39" s="247" t="s">
        <v>339</v>
      </c>
      <c r="F39" s="247"/>
      <c r="G39" s="247"/>
      <c r="H39" s="149" t="s">
        <v>340</v>
      </c>
      <c r="I39" s="171"/>
      <c r="J39" s="162" t="s">
        <v>406</v>
      </c>
      <c r="K39" s="143"/>
      <c r="L39" s="158"/>
      <c r="M39" s="167">
        <f>MAX(C_Vib1N1Pk S_pic_de_vib,C_Vib1N1PkD S_pic_de_vib)</f>
        <v>0</v>
      </c>
      <c r="N39" s="168" t="s">
        <v>262</v>
      </c>
      <c r="O39" s="172"/>
      <c r="P39" s="158"/>
      <c r="Q39" s="143"/>
      <c r="R39" s="231">
        <v>4</v>
      </c>
      <c r="S39" s="168" t="s">
        <v>538</v>
      </c>
      <c r="T39" s="168"/>
      <c r="U39" s="168"/>
    </row>
    <row r="40" spans="1:21" s="42" customFormat="1" x14ac:dyDescent="0.2">
      <c r="A40" s="143"/>
      <c r="B40" s="143"/>
      <c r="C40" s="143"/>
      <c r="D40" s="143"/>
      <c r="E40" s="162"/>
      <c r="F40" s="162"/>
      <c r="G40" s="162"/>
      <c r="H40" s="149" t="s">
        <v>340</v>
      </c>
      <c r="I40" s="171"/>
      <c r="J40" s="162" t="s">
        <v>404</v>
      </c>
      <c r="K40" s="143"/>
      <c r="L40" s="158"/>
      <c r="M40" s="167">
        <f>MAX(C_Vib2N1Pk S_pic_de_vib,C_Vib2N1PkD S_pic_de_vib)</f>
        <v>0</v>
      </c>
      <c r="N40" s="168" t="s">
        <v>262</v>
      </c>
      <c r="O40" s="172"/>
      <c r="P40" s="158"/>
      <c r="Q40" s="143"/>
      <c r="R40" s="231">
        <v>4</v>
      </c>
      <c r="S40" s="168" t="s">
        <v>538</v>
      </c>
      <c r="T40" s="168"/>
      <c r="U40" s="168"/>
    </row>
    <row r="41" spans="1:21" s="42" customFormat="1" x14ac:dyDescent="0.2">
      <c r="A41" s="143"/>
      <c r="B41" s="143"/>
      <c r="C41" s="143"/>
      <c r="D41" s="143"/>
      <c r="E41" s="247" t="s">
        <v>341</v>
      </c>
      <c r="F41" s="162"/>
      <c r="G41" s="162"/>
      <c r="H41" s="149" t="s">
        <v>340</v>
      </c>
      <c r="I41" s="143"/>
      <c r="J41" s="162" t="s">
        <v>407</v>
      </c>
      <c r="K41" s="143"/>
      <c r="L41" s="158"/>
      <c r="M41" s="167">
        <f>MAX(C_Vib1N2Pk S_pic_de_vib,C_Vib1N2PkD S_pic_de_vib)</f>
        <v>0</v>
      </c>
      <c r="N41" s="168" t="s">
        <v>72</v>
      </c>
      <c r="O41" s="172"/>
      <c r="P41" s="158"/>
      <c r="Q41" s="143"/>
      <c r="R41" s="232">
        <v>1.6</v>
      </c>
      <c r="S41" s="168" t="s">
        <v>72</v>
      </c>
      <c r="T41" s="168"/>
      <c r="U41" s="168"/>
    </row>
    <row r="42" spans="1:21" s="42" customFormat="1" ht="13.5" thickBot="1" x14ac:dyDescent="0.25">
      <c r="A42" s="143"/>
      <c r="B42" s="164"/>
      <c r="C42" s="164"/>
      <c r="D42" s="164"/>
      <c r="E42" s="173"/>
      <c r="F42" s="173"/>
      <c r="G42" s="173"/>
      <c r="H42" s="174" t="s">
        <v>340</v>
      </c>
      <c r="I42" s="175"/>
      <c r="J42" s="176" t="s">
        <v>405</v>
      </c>
      <c r="K42" s="177"/>
      <c r="L42" s="178"/>
      <c r="M42" s="179">
        <f>MAX(C_Vib2N2Pk S_pic_de_vib,C_Vib2N2PkD S_pic_de_vib)</f>
        <v>0</v>
      </c>
      <c r="N42" s="180" t="s">
        <v>72</v>
      </c>
      <c r="O42" s="181"/>
      <c r="P42" s="178"/>
      <c r="Q42" s="164"/>
      <c r="R42" s="233">
        <v>1.6</v>
      </c>
      <c r="S42" s="180" t="s">
        <v>72</v>
      </c>
      <c r="T42" s="180"/>
      <c r="U42" s="168"/>
    </row>
    <row r="43" spans="1:21" s="42" customFormat="1" x14ac:dyDescent="0.2">
      <c r="A43" s="143"/>
      <c r="B43" s="143"/>
      <c r="C43" s="699" t="s">
        <v>342</v>
      </c>
      <c r="D43" s="699"/>
      <c r="E43" s="699"/>
      <c r="F43" s="699"/>
      <c r="G43" s="699"/>
      <c r="H43" s="699"/>
      <c r="I43" s="699"/>
      <c r="J43" s="699"/>
      <c r="K43" s="700"/>
      <c r="L43" s="182"/>
      <c r="M43" s="183" cm="1">
        <f t="array" ref="M43">C_MOPK S_mini_idle</f>
        <v>0</v>
      </c>
      <c r="N43" s="184" t="s">
        <v>26</v>
      </c>
      <c r="O43" s="185"/>
      <c r="P43" s="182"/>
      <c r="Q43" s="143"/>
      <c r="R43" s="230" t="s">
        <v>424</v>
      </c>
      <c r="S43" s="184" t="s">
        <v>26</v>
      </c>
      <c r="T43" s="186"/>
      <c r="U43" s="143"/>
    </row>
    <row r="44" spans="1:21" s="42" customFormat="1" x14ac:dyDescent="0.2">
      <c r="A44" s="143"/>
      <c r="B44" s="143"/>
      <c r="C44" s="701" t="s">
        <v>343</v>
      </c>
      <c r="D44" s="701"/>
      <c r="E44" s="701"/>
      <c r="F44" s="701"/>
      <c r="G44" s="701"/>
      <c r="H44" s="701"/>
      <c r="I44" s="701"/>
      <c r="J44" s="701"/>
      <c r="K44" s="702"/>
      <c r="L44" s="158"/>
      <c r="M44" s="183" cm="1">
        <f t="array" ref="M44">C_MOPK S_take_off1</f>
        <v>0</v>
      </c>
      <c r="N44" s="168" t="s">
        <v>26</v>
      </c>
      <c r="O44" s="159"/>
      <c r="P44" s="158"/>
      <c r="Q44" s="143"/>
      <c r="R44" s="187" t="s">
        <v>344</v>
      </c>
      <c r="S44" s="168" t="s">
        <v>26</v>
      </c>
      <c r="T44" s="143"/>
      <c r="U44" s="143"/>
    </row>
    <row r="45" spans="1:21" s="143" customFormat="1" ht="12.75" customHeight="1" thickBot="1" x14ac:dyDescent="0.25">
      <c r="B45" s="164"/>
      <c r="C45" s="703" t="s">
        <v>209</v>
      </c>
      <c r="D45" s="703"/>
      <c r="E45" s="703"/>
      <c r="F45" s="703"/>
      <c r="G45" s="703"/>
      <c r="H45" s="703"/>
      <c r="I45" s="703"/>
      <c r="J45" s="703"/>
      <c r="K45" s="703"/>
      <c r="L45" s="178"/>
      <c r="M45" s="314"/>
      <c r="N45" s="251" t="s">
        <v>345</v>
      </c>
      <c r="O45" s="177"/>
      <c r="P45" s="164"/>
      <c r="Q45" s="164"/>
      <c r="R45" s="238">
        <v>0.56999999999999995</v>
      </c>
      <c r="S45" s="180" t="s">
        <v>345</v>
      </c>
      <c r="T45" s="164"/>
    </row>
    <row r="46" spans="1:21" s="143" customFormat="1" ht="12.75" customHeight="1" x14ac:dyDescent="0.2">
      <c r="C46" s="248"/>
      <c r="D46" s="248"/>
      <c r="E46" s="248"/>
      <c r="F46" s="248"/>
      <c r="G46" s="248"/>
      <c r="H46" s="248"/>
      <c r="I46" s="248"/>
      <c r="J46" s="248"/>
      <c r="K46" s="248"/>
      <c r="M46" s="168"/>
      <c r="N46" s="168"/>
      <c r="R46" s="205"/>
      <c r="S46" s="168"/>
    </row>
    <row r="47" spans="1:21" s="42" customFormat="1" ht="18" x14ac:dyDescent="0.2">
      <c r="A47" s="143"/>
      <c r="B47" s="143"/>
      <c r="C47" s="682" t="s">
        <v>346</v>
      </c>
      <c r="D47" s="682"/>
      <c r="E47" s="682"/>
      <c r="F47" s="242"/>
      <c r="G47" s="162" t="s">
        <v>347</v>
      </c>
      <c r="H47" s="189" t="s">
        <v>348</v>
      </c>
      <c r="I47" s="149"/>
      <c r="J47" s="149" t="s">
        <v>523</v>
      </c>
      <c r="K47" s="149"/>
      <c r="L47" s="149"/>
      <c r="M47" s="191"/>
      <c r="N47" s="191"/>
      <c r="O47" s="704"/>
      <c r="P47" s="704"/>
      <c r="Q47" s="249"/>
      <c r="R47" s="190"/>
      <c r="S47" s="192"/>
      <c r="T47" s="143"/>
      <c r="U47" s="143"/>
    </row>
    <row r="48" spans="1:21" s="42" customFormat="1" ht="18" x14ac:dyDescent="0.2">
      <c r="A48" s="143"/>
      <c r="B48" s="143"/>
      <c r="C48" s="143"/>
      <c r="D48" s="143"/>
      <c r="E48" s="143"/>
      <c r="F48" s="143"/>
      <c r="G48" s="162" t="s">
        <v>349</v>
      </c>
      <c r="H48" s="189" t="s">
        <v>348</v>
      </c>
      <c r="I48" s="189"/>
      <c r="J48" s="462"/>
      <c r="K48" s="192"/>
      <c r="L48" s="191"/>
      <c r="M48" s="194"/>
      <c r="N48" s="194"/>
      <c r="O48" s="195"/>
      <c r="P48" s="196"/>
      <c r="Q48" s="196"/>
      <c r="R48" s="196"/>
      <c r="S48" s="193"/>
      <c r="T48" s="143"/>
      <c r="U48" s="143"/>
    </row>
    <row r="49" spans="1:21" s="42" customFormat="1" ht="12.75" customHeight="1" x14ac:dyDescent="0.2">
      <c r="A49" s="143"/>
      <c r="B49" s="143"/>
      <c r="C49" s="143"/>
      <c r="D49" s="143"/>
      <c r="E49" s="143"/>
      <c r="F49" s="143"/>
      <c r="G49" s="246"/>
      <c r="H49" s="246"/>
      <c r="I49" s="149"/>
      <c r="J49" s="250"/>
      <c r="K49" s="250"/>
      <c r="L49" s="250"/>
      <c r="M49" s="247"/>
      <c r="N49" s="247"/>
      <c r="O49" s="149"/>
      <c r="P49" s="143"/>
      <c r="Q49" s="143"/>
      <c r="R49" s="162"/>
      <c r="S49" s="143"/>
      <c r="T49" s="143"/>
      <c r="U49" s="143"/>
    </row>
    <row r="50" spans="1:21" s="42" customFormat="1" ht="12.75" customHeight="1" x14ac:dyDescent="0.2">
      <c r="A50" s="143"/>
      <c r="B50" s="143"/>
      <c r="C50" s="143"/>
      <c r="D50" s="143"/>
      <c r="E50" s="143"/>
      <c r="F50" s="143"/>
      <c r="G50" s="296"/>
      <c r="H50" s="296"/>
      <c r="I50" s="149"/>
      <c r="J50" s="295"/>
      <c r="K50" s="295"/>
      <c r="L50" s="295"/>
      <c r="M50" s="297"/>
      <c r="N50" s="297"/>
      <c r="O50" s="149"/>
      <c r="P50" s="143"/>
      <c r="Q50" s="143"/>
      <c r="R50" s="162"/>
      <c r="S50" s="143"/>
      <c r="T50" s="143"/>
      <c r="U50" s="143"/>
    </row>
    <row r="51" spans="1:21" s="42" customFormat="1" ht="12.75" customHeight="1" x14ac:dyDescent="0.2">
      <c r="A51" s="143"/>
      <c r="B51" s="143"/>
      <c r="C51" s="143"/>
      <c r="D51" s="143"/>
      <c r="E51" s="143"/>
      <c r="F51" s="143"/>
      <c r="G51" s="457"/>
      <c r="H51" s="457"/>
      <c r="I51" s="149"/>
      <c r="J51" s="459"/>
      <c r="K51" s="459"/>
      <c r="L51" s="459"/>
      <c r="M51" s="458"/>
      <c r="N51" s="458"/>
      <c r="O51" s="149"/>
      <c r="P51" s="143"/>
      <c r="Q51" s="143"/>
      <c r="R51" s="162"/>
      <c r="S51" s="143"/>
      <c r="T51" s="143"/>
      <c r="U51" s="143"/>
    </row>
    <row r="52" spans="1:21" s="42" customFormat="1" ht="12.75" customHeight="1" x14ac:dyDescent="0.2">
      <c r="A52" s="143"/>
      <c r="B52" s="143"/>
      <c r="C52" s="143"/>
      <c r="D52" s="143"/>
      <c r="E52" s="143"/>
      <c r="F52" s="143"/>
      <c r="G52" s="309"/>
      <c r="H52" s="309"/>
      <c r="I52" s="149"/>
      <c r="J52" s="311"/>
      <c r="K52" s="311"/>
      <c r="L52" s="311"/>
      <c r="M52" s="310"/>
      <c r="N52" s="310"/>
      <c r="O52" s="149"/>
      <c r="P52" s="143"/>
      <c r="Q52" s="143"/>
      <c r="R52" s="162"/>
      <c r="S52" s="143"/>
      <c r="T52" s="143"/>
      <c r="U52" s="143"/>
    </row>
    <row r="53" spans="1:21" s="42" customFormat="1" ht="12.75" customHeight="1" x14ac:dyDescent="0.2">
      <c r="A53" s="143"/>
      <c r="B53" s="143"/>
      <c r="C53" s="143"/>
      <c r="D53" s="143"/>
      <c r="E53" s="143"/>
      <c r="F53" s="143"/>
      <c r="G53" s="302"/>
      <c r="H53" s="302"/>
      <c r="I53" s="149"/>
      <c r="J53" s="304"/>
      <c r="K53" s="304"/>
      <c r="L53" s="304"/>
      <c r="M53" s="303"/>
      <c r="N53" s="303"/>
      <c r="O53" s="149"/>
      <c r="P53" s="143"/>
      <c r="Q53" s="143"/>
      <c r="R53" s="162"/>
      <c r="S53" s="143"/>
      <c r="T53" s="143"/>
      <c r="U53" s="143"/>
    </row>
    <row r="54" spans="1:21" s="42" customFormat="1" ht="12.75" customHeight="1" x14ac:dyDescent="0.2">
      <c r="A54" s="143"/>
      <c r="B54" s="143"/>
      <c r="C54" s="143"/>
      <c r="D54" s="143"/>
      <c r="E54" s="143"/>
      <c r="F54" s="143"/>
      <c r="G54" s="296"/>
      <c r="H54" s="296"/>
      <c r="I54" s="149"/>
      <c r="J54" s="295"/>
      <c r="K54" s="295"/>
      <c r="L54" s="295"/>
      <c r="M54" s="297"/>
      <c r="N54" s="297"/>
      <c r="O54" s="149"/>
      <c r="P54" s="143"/>
      <c r="Q54" s="143"/>
      <c r="R54" s="162"/>
      <c r="S54" s="143"/>
      <c r="T54" s="143"/>
      <c r="U54" s="143"/>
    </row>
    <row r="55" spans="1:21" s="42" customFormat="1" ht="12.75" customHeight="1" x14ac:dyDescent="0.2">
      <c r="A55" s="143"/>
      <c r="B55" s="143"/>
      <c r="C55" s="143"/>
      <c r="D55" s="143"/>
      <c r="E55" s="143"/>
      <c r="F55" s="143"/>
      <c r="G55" s="631" t="s">
        <v>350</v>
      </c>
      <c r="H55" s="631"/>
      <c r="I55" s="190"/>
      <c r="J55" s="191"/>
      <c r="K55" s="191"/>
      <c r="L55" s="191"/>
      <c r="M55" s="632" t="s">
        <v>351</v>
      </c>
      <c r="N55" s="632"/>
      <c r="O55" s="149"/>
      <c r="P55" s="143"/>
      <c r="Q55" s="143"/>
      <c r="R55" s="162"/>
      <c r="S55" s="143"/>
      <c r="T55" s="143"/>
      <c r="U55" s="143"/>
    </row>
    <row r="56" spans="1:21" s="42" customFormat="1" ht="12.75" customHeight="1" x14ac:dyDescent="0.2">
      <c r="A56" s="143"/>
      <c r="B56" s="202"/>
      <c r="C56" s="234"/>
      <c r="D56" s="143"/>
      <c r="E56" s="143"/>
      <c r="F56" s="143"/>
      <c r="G56" s="631"/>
      <c r="H56" s="631"/>
      <c r="I56" s="239"/>
      <c r="J56" s="240"/>
      <c r="K56" s="240"/>
      <c r="L56" s="240"/>
      <c r="M56" s="632"/>
      <c r="N56" s="632"/>
      <c r="O56" s="149"/>
      <c r="P56" s="143"/>
      <c r="Q56" s="143"/>
      <c r="R56" s="162"/>
      <c r="S56" s="143"/>
      <c r="T56" s="143"/>
      <c r="U56" s="143"/>
    </row>
    <row r="57" spans="1:21" s="42" customFormat="1" ht="12.75" customHeight="1" thickBot="1" x14ac:dyDescent="0.25">
      <c r="A57" s="143"/>
      <c r="B57" s="202"/>
      <c r="C57" s="234"/>
      <c r="D57" s="162"/>
      <c r="E57" s="143"/>
      <c r="F57" s="143"/>
      <c r="G57" s="250"/>
      <c r="H57" s="250"/>
      <c r="I57" s="250"/>
      <c r="J57" s="198"/>
      <c r="K57" s="198"/>
      <c r="L57" s="162"/>
      <c r="M57" s="250"/>
      <c r="N57" s="250"/>
      <c r="O57" s="143"/>
      <c r="P57" s="143"/>
      <c r="Q57" s="143"/>
      <c r="R57" s="143"/>
      <c r="S57" s="143"/>
      <c r="T57" s="644" t="s">
        <v>419</v>
      </c>
      <c r="U57" s="644"/>
    </row>
    <row r="58" spans="1:21" s="42" customFormat="1" ht="18" customHeight="1" thickTop="1" x14ac:dyDescent="0.25">
      <c r="A58" s="139"/>
      <c r="B58" s="140"/>
      <c r="C58" s="140"/>
      <c r="D58" s="140"/>
      <c r="E58" s="140"/>
      <c r="F58" s="140"/>
      <c r="G58" s="140"/>
      <c r="H58" s="140"/>
      <c r="I58" s="140"/>
      <c r="J58" s="671" t="s">
        <v>314</v>
      </c>
      <c r="K58" s="671"/>
      <c r="L58" s="671"/>
      <c r="M58" s="671"/>
      <c r="N58" s="671"/>
      <c r="O58" s="140"/>
      <c r="P58" s="140"/>
      <c r="Q58" s="140"/>
      <c r="R58" s="140"/>
      <c r="S58" s="140"/>
      <c r="T58" s="140"/>
      <c r="U58" s="141"/>
    </row>
    <row r="59" spans="1:21" s="42" customFormat="1" ht="13.5" customHeight="1" x14ac:dyDescent="0.2">
      <c r="A59" s="142"/>
      <c r="B59" s="143"/>
      <c r="C59" s="143"/>
      <c r="D59" s="143"/>
      <c r="E59" s="143"/>
      <c r="F59" s="143"/>
      <c r="G59" s="143"/>
      <c r="H59" s="143"/>
      <c r="I59" s="143"/>
      <c r="J59" s="672" t="s">
        <v>539</v>
      </c>
      <c r="K59" s="672"/>
      <c r="L59" s="672"/>
      <c r="M59" s="672"/>
      <c r="N59" s="672"/>
      <c r="O59" s="149" t="s">
        <v>315</v>
      </c>
      <c r="P59" s="145"/>
      <c r="Q59" s="145" t="s">
        <v>316</v>
      </c>
      <c r="R59" s="146">
        <f>$R$2</f>
        <v>74</v>
      </c>
      <c r="S59" s="145" t="s">
        <v>317</v>
      </c>
      <c r="T59" s="312">
        <f>$T$2</f>
        <v>0</v>
      </c>
      <c r="U59" s="148"/>
    </row>
    <row r="60" spans="1:21" s="42" customFormat="1" ht="13.5" customHeight="1" thickBot="1" x14ac:dyDescent="0.25">
      <c r="A60" s="142"/>
      <c r="B60" s="143"/>
      <c r="C60" s="143"/>
      <c r="D60" s="143"/>
      <c r="E60" s="143"/>
      <c r="F60" s="143"/>
      <c r="G60" s="143"/>
      <c r="H60" s="143"/>
      <c r="I60" s="143"/>
      <c r="J60" s="672"/>
      <c r="K60" s="672"/>
      <c r="L60" s="672"/>
      <c r="M60" s="672"/>
      <c r="N60" s="672"/>
      <c r="O60" s="146"/>
      <c r="P60" s="146"/>
      <c r="Q60" s="146"/>
      <c r="R60" s="80"/>
      <c r="S60" s="80"/>
      <c r="T60" s="147" t="s">
        <v>352</v>
      </c>
      <c r="U60" s="148"/>
    </row>
    <row r="61" spans="1:21" s="42" customFormat="1" ht="13.5" customHeight="1" x14ac:dyDescent="0.2">
      <c r="A61" s="142"/>
      <c r="B61" s="143"/>
      <c r="C61" s="149"/>
      <c r="D61" s="149" t="s">
        <v>319</v>
      </c>
      <c r="E61" s="145"/>
      <c r="F61" s="145" t="s">
        <v>316</v>
      </c>
      <c r="G61" s="673" t="str">
        <f>$G$4</f>
        <v>CFM56_7B</v>
      </c>
      <c r="H61" s="673"/>
      <c r="I61" s="199"/>
      <c r="J61" s="143"/>
      <c r="K61" s="674" t="s">
        <v>540</v>
      </c>
      <c r="L61" s="675"/>
      <c r="M61" s="676"/>
      <c r="N61" s="143"/>
      <c r="O61" s="149" t="s">
        <v>320</v>
      </c>
      <c r="P61" s="145"/>
      <c r="Q61" s="145" t="s">
        <v>316</v>
      </c>
      <c r="R61" s="673" t="str">
        <f>$R$4</f>
        <v>19-8053</v>
      </c>
      <c r="S61" s="673"/>
      <c r="T61" s="143"/>
      <c r="U61" s="148"/>
    </row>
    <row r="62" spans="1:21" s="42" customFormat="1" ht="13.5" customHeight="1" thickBot="1" x14ac:dyDescent="0.25">
      <c r="A62" s="142"/>
      <c r="B62" s="143"/>
      <c r="C62" s="80"/>
      <c r="D62" s="80"/>
      <c r="E62" s="80"/>
      <c r="F62" s="146"/>
      <c r="G62" s="146"/>
      <c r="H62" s="146"/>
      <c r="I62" s="80"/>
      <c r="J62" s="143"/>
      <c r="K62" s="677" t="s">
        <v>321</v>
      </c>
      <c r="L62" s="678"/>
      <c r="M62" s="679"/>
      <c r="N62" s="143"/>
      <c r="O62" s="146"/>
      <c r="P62" s="146"/>
      <c r="Q62" s="146"/>
      <c r="R62" s="146"/>
      <c r="S62" s="146"/>
      <c r="T62" s="143"/>
      <c r="U62" s="148"/>
    </row>
    <row r="63" spans="1:21" s="42" customFormat="1" ht="13.5" customHeight="1" x14ac:dyDescent="0.2">
      <c r="A63" s="142"/>
      <c r="B63" s="143"/>
      <c r="C63" s="149"/>
      <c r="D63" s="149" t="s">
        <v>322</v>
      </c>
      <c r="E63" s="145"/>
      <c r="F63" s="145" t="s">
        <v>316</v>
      </c>
      <c r="G63" s="673" t="str">
        <f>$G$6</f>
        <v>AFR</v>
      </c>
      <c r="H63" s="673"/>
      <c r="I63" s="199"/>
      <c r="J63" s="143"/>
      <c r="K63" s="143"/>
      <c r="L63" s="143"/>
      <c r="M63" s="143"/>
      <c r="N63" s="143"/>
      <c r="O63" s="149" t="s">
        <v>323</v>
      </c>
      <c r="P63" s="145"/>
      <c r="Q63" s="145" t="s">
        <v>316</v>
      </c>
      <c r="R63" s="673" t="str">
        <f>$R$6</f>
        <v>EX2380</v>
      </c>
      <c r="S63" s="673"/>
      <c r="T63" s="143"/>
      <c r="U63" s="148"/>
    </row>
    <row r="64" spans="1:21" s="42" customFormat="1" ht="13.5" customHeight="1" x14ac:dyDescent="0.2">
      <c r="A64" s="142"/>
      <c r="B64" s="143"/>
      <c r="C64" s="80"/>
      <c r="D64" s="80"/>
      <c r="E64" s="80"/>
      <c r="F64" s="146"/>
      <c r="G64" s="146"/>
      <c r="H64" s="146"/>
      <c r="I64" s="80"/>
      <c r="J64" s="143"/>
      <c r="K64" s="143"/>
      <c r="L64" s="143"/>
      <c r="M64" s="143"/>
      <c r="N64" s="143"/>
      <c r="O64" s="146"/>
      <c r="P64" s="146"/>
      <c r="Q64" s="146"/>
      <c r="R64" s="146"/>
      <c r="S64" s="146"/>
      <c r="T64" s="143"/>
      <c r="U64" s="148"/>
    </row>
    <row r="65" spans="1:21" s="42" customFormat="1" ht="13.5" customHeight="1" x14ac:dyDescent="0.2">
      <c r="A65" s="142"/>
      <c r="B65" s="143"/>
      <c r="C65" s="149"/>
      <c r="D65" s="149" t="s">
        <v>324</v>
      </c>
      <c r="E65" s="145"/>
      <c r="F65" s="145" t="s">
        <v>316</v>
      </c>
      <c r="G65" s="673">
        <f>$G$8</f>
        <v>575499</v>
      </c>
      <c r="H65" s="673"/>
      <c r="I65" s="199"/>
      <c r="J65" s="143"/>
      <c r="K65" s="143"/>
      <c r="L65" s="143"/>
      <c r="M65" s="143"/>
      <c r="N65" s="143"/>
      <c r="O65" s="149" t="s">
        <v>325</v>
      </c>
      <c r="P65" s="145"/>
      <c r="Q65" s="145" t="s">
        <v>316</v>
      </c>
      <c r="R65" s="673" t="str">
        <f>$R$8</f>
        <v>5BT.F1</v>
      </c>
      <c r="S65" s="673"/>
      <c r="T65" s="143"/>
      <c r="U65" s="148"/>
    </row>
    <row r="66" spans="1:21" s="42" customFormat="1" ht="13.5" customHeight="1" x14ac:dyDescent="0.2">
      <c r="A66" s="142"/>
      <c r="B66" s="143"/>
      <c r="C66" s="80"/>
      <c r="D66" s="80"/>
      <c r="E66" s="80"/>
      <c r="F66" s="146"/>
      <c r="G66" s="146"/>
      <c r="H66" s="146"/>
      <c r="I66" s="80"/>
      <c r="J66" s="143"/>
      <c r="K66" s="143"/>
      <c r="L66" s="143"/>
      <c r="M66" s="143"/>
      <c r="N66" s="143"/>
      <c r="O66" s="146"/>
      <c r="P66" s="146"/>
      <c r="Q66" s="146"/>
      <c r="R66" s="146"/>
      <c r="S66" s="146"/>
      <c r="T66" s="143"/>
      <c r="U66" s="148"/>
    </row>
    <row r="67" spans="1:21" s="42" customFormat="1" ht="13.5" customHeight="1" x14ac:dyDescent="0.2">
      <c r="A67" s="142"/>
      <c r="B67" s="143"/>
      <c r="C67" s="149"/>
      <c r="D67" s="682" t="s">
        <v>458</v>
      </c>
      <c r="E67" s="682"/>
      <c r="F67" s="299" t="s">
        <v>316</v>
      </c>
      <c r="G67" s="673" t="str">
        <f>$G$10</f>
        <v>NQSV</v>
      </c>
      <c r="H67" s="673"/>
      <c r="I67" s="673"/>
      <c r="J67" s="143"/>
      <c r="K67" s="143"/>
      <c r="L67" s="143"/>
      <c r="M67" s="143"/>
      <c r="N67" s="143"/>
      <c r="O67" s="149" t="s">
        <v>326</v>
      </c>
      <c r="P67" s="145"/>
      <c r="Q67" s="145" t="s">
        <v>316</v>
      </c>
      <c r="R67" s="673" t="str">
        <f>$R$10</f>
        <v>Flight</v>
      </c>
      <c r="S67" s="673"/>
      <c r="T67" s="143"/>
      <c r="U67" s="148"/>
    </row>
    <row r="68" spans="1:21" s="42" customFormat="1" ht="13.5" customHeight="1" x14ac:dyDescent="0.2">
      <c r="A68" s="142"/>
      <c r="B68" s="143"/>
      <c r="C68" s="80"/>
      <c r="D68" s="80"/>
      <c r="E68" s="80"/>
      <c r="F68" s="146"/>
      <c r="G68" s="146"/>
      <c r="H68" s="146"/>
      <c r="I68" s="80"/>
      <c r="J68" s="143"/>
      <c r="K68" s="143"/>
      <c r="L68" s="143"/>
      <c r="M68" s="143"/>
      <c r="N68" s="143"/>
      <c r="O68" s="146"/>
      <c r="P68" s="146"/>
      <c r="Q68" s="146"/>
      <c r="R68" s="146"/>
      <c r="S68" s="146"/>
      <c r="T68" s="143"/>
      <c r="U68" s="148"/>
    </row>
    <row r="69" spans="1:21" s="42" customFormat="1" ht="13.5" customHeight="1" x14ac:dyDescent="0.2">
      <c r="A69" s="142"/>
      <c r="B69" s="143"/>
      <c r="C69" s="149"/>
      <c r="D69" s="149" t="s">
        <v>327</v>
      </c>
      <c r="E69" s="145"/>
      <c r="F69" s="145" t="s">
        <v>316</v>
      </c>
      <c r="G69" s="200" t="str">
        <f>$G$12</f>
        <v>Performance Test</v>
      </c>
      <c r="H69" s="200"/>
      <c r="I69" s="199"/>
      <c r="J69" s="143"/>
      <c r="K69" s="143"/>
      <c r="L69" s="143"/>
      <c r="M69" s="143"/>
      <c r="N69" s="143"/>
      <c r="O69" s="149" t="s">
        <v>328</v>
      </c>
      <c r="P69" s="145"/>
      <c r="Q69" s="145" t="s">
        <v>316</v>
      </c>
      <c r="R69" s="680">
        <f>$R$12</f>
        <v>43729.338773148149</v>
      </c>
      <c r="S69" s="680"/>
      <c r="T69" s="143"/>
      <c r="U69" s="148"/>
    </row>
    <row r="70" spans="1:21" s="42" customFormat="1" ht="13.5" customHeight="1" thickBot="1" x14ac:dyDescent="0.25">
      <c r="A70" s="151"/>
      <c r="B70" s="152"/>
      <c r="C70" s="152"/>
      <c r="D70" s="152"/>
      <c r="E70" s="152"/>
      <c r="F70" s="201"/>
      <c r="G70" s="152"/>
      <c r="H70" s="152"/>
      <c r="I70" s="152"/>
      <c r="J70" s="152"/>
      <c r="K70" s="152"/>
      <c r="L70" s="152"/>
      <c r="M70" s="152"/>
      <c r="N70" s="152"/>
      <c r="O70" s="152"/>
      <c r="P70" s="152"/>
      <c r="Q70" s="152"/>
      <c r="R70" s="152"/>
      <c r="S70" s="152"/>
      <c r="T70" s="152"/>
      <c r="U70" s="153"/>
    </row>
    <row r="71" spans="1:21" s="42" customFormat="1" ht="12.75" customHeight="1" thickTop="1" x14ac:dyDescent="0.2">
      <c r="A71" s="143"/>
      <c r="B71" s="143"/>
      <c r="C71" s="143"/>
      <c r="D71" s="143"/>
      <c r="E71" s="143"/>
      <c r="F71" s="145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</row>
    <row r="72" spans="1:21" s="42" customFormat="1" ht="16.5" customHeight="1" x14ac:dyDescent="0.25">
      <c r="A72" s="143"/>
      <c r="B72" s="143"/>
      <c r="C72" s="154"/>
      <c r="D72" s="154"/>
      <c r="E72" s="154"/>
      <c r="F72" s="154"/>
      <c r="G72" s="155"/>
      <c r="H72" s="653" t="s">
        <v>526</v>
      </c>
      <c r="I72" s="654"/>
      <c r="J72" s="655" t="s">
        <v>527</v>
      </c>
      <c r="K72" s="654"/>
      <c r="L72" s="655" t="s">
        <v>525</v>
      </c>
      <c r="M72" s="654"/>
      <c r="N72" s="655" t="s">
        <v>441</v>
      </c>
      <c r="O72" s="654"/>
      <c r="P72" s="655" t="s">
        <v>525</v>
      </c>
      <c r="Q72" s="653"/>
      <c r="R72" s="654"/>
      <c r="S72" s="655" t="s">
        <v>441</v>
      </c>
      <c r="T72" s="653"/>
      <c r="U72" s="156"/>
    </row>
    <row r="73" spans="1:21" s="42" customFormat="1" x14ac:dyDescent="0.2">
      <c r="A73" s="143"/>
      <c r="B73" s="143"/>
      <c r="C73" s="143"/>
      <c r="D73" s="143"/>
      <c r="E73" s="143"/>
      <c r="F73" s="143"/>
      <c r="G73" s="202" t="s">
        <v>353</v>
      </c>
      <c r="H73" s="641"/>
      <c r="I73" s="643"/>
      <c r="J73" s="641"/>
      <c r="K73" s="643"/>
      <c r="L73" s="641" cm="1">
        <f t="array" ref="L73" xml:space="preserve"> VLOOKUP(C_Engine_Rating S_maxi_continu1, enum_list!$A$2:$F$102,3,1)</f>
        <v>0</v>
      </c>
      <c r="M73" s="643"/>
      <c r="N73" s="641" cm="1">
        <f t="array" ref="N73" xml:space="preserve"> VLOOKUP(C_Engine_Rating S_take_off1, enum_list!$A$2:$F$102,3,1)</f>
        <v>0</v>
      </c>
      <c r="O73" s="643"/>
      <c r="P73" s="641" t="str" cm="1">
        <f t="array" ref="P73">IF('RATINGS QUESTION'!$K$5="YES","N/A",VLOOKUP(C_Engine_Rating S_maxi_continu2, enum_list!$A$2:$F$102,3,1))</f>
        <v>N/A</v>
      </c>
      <c r="Q73" s="642"/>
      <c r="R73" s="643"/>
      <c r="S73" s="641" t="str" cm="1">
        <f t="array" ref="S73">IF('RATINGS QUESTION'!$K$5="YES","N/A",VLOOKUP(C_Engine_Rating S_take_off2, enum_list!$A$2:$F$102,3,1))</f>
        <v>N/A</v>
      </c>
      <c r="T73" s="642"/>
      <c r="U73" s="143"/>
    </row>
    <row r="74" spans="1:21" s="42" customFormat="1" x14ac:dyDescent="0.2">
      <c r="A74" s="143"/>
      <c r="B74" s="143"/>
      <c r="C74" s="143"/>
      <c r="D74" s="143"/>
      <c r="E74" s="143"/>
      <c r="F74" s="143"/>
      <c r="G74" s="202" t="s">
        <v>354</v>
      </c>
      <c r="H74" s="665" cm="1">
        <f t="array" ref="H74">C_DateDays S_mini_idle</f>
        <v>0</v>
      </c>
      <c r="I74" s="666"/>
      <c r="J74" s="665" cm="1">
        <f t="array" ref="J74">C_DateDays S_approach_idle</f>
        <v>0</v>
      </c>
      <c r="K74" s="666"/>
      <c r="L74" s="665" cm="1">
        <f t="array" ref="L74">C_DateDays S_maxi_continu1</f>
        <v>0</v>
      </c>
      <c r="M74" s="666"/>
      <c r="N74" s="665" cm="1">
        <f t="array" ref="N74">C_DateDays S_take_off1</f>
        <v>0</v>
      </c>
      <c r="O74" s="666"/>
      <c r="P74" s="665" t="str" cm="1">
        <f t="array" ref="P74">IF('RATINGS QUESTION'!$K$5="YES","N/A",C_DateDays S_maxi_continu2)</f>
        <v>N/A</v>
      </c>
      <c r="Q74" s="667"/>
      <c r="R74" s="666"/>
      <c r="S74" s="665" t="str" cm="1">
        <f t="array" ref="S74">IF('RATINGS QUESTION'!$K$5="YES","N/A",C_DateDays S_take_off2)</f>
        <v>N/A</v>
      </c>
      <c r="T74" s="667"/>
      <c r="U74" s="143"/>
    </row>
    <row r="75" spans="1:21" s="42" customFormat="1" x14ac:dyDescent="0.2">
      <c r="A75" s="143"/>
      <c r="B75" s="143"/>
      <c r="C75" s="143"/>
      <c r="D75" s="143"/>
      <c r="E75" s="143"/>
      <c r="F75" s="143"/>
      <c r="G75" s="202" t="s">
        <v>355</v>
      </c>
      <c r="H75" s="668" cm="1">
        <f t="array" ref="H75">C_DateTime S_mini_idle</f>
        <v>0</v>
      </c>
      <c r="I75" s="669"/>
      <c r="J75" s="668" cm="1">
        <f t="array" ref="J75">C_DateTime S_approach_idle</f>
        <v>0</v>
      </c>
      <c r="K75" s="669"/>
      <c r="L75" s="668" cm="1">
        <f t="array" ref="L75">C_DateTime S_maxi_continu1</f>
        <v>0</v>
      </c>
      <c r="M75" s="669"/>
      <c r="N75" s="668" cm="1">
        <f t="array" ref="N75">C_DateTime S_take_off1</f>
        <v>0</v>
      </c>
      <c r="O75" s="669"/>
      <c r="P75" s="668" t="str" cm="1">
        <f t="array" ref="P75">IF('RATINGS QUESTION'!$K$5="YES","N/A",C_DateTime S_maxi_continu2)</f>
        <v>N/A</v>
      </c>
      <c r="Q75" s="670"/>
      <c r="R75" s="669"/>
      <c r="S75" s="668" t="str" cm="1">
        <f t="array" ref="S75">IF('RATINGS QUESTION'!$K$5="YES","N/A",C_DateTime S_take_off2)</f>
        <v>N/A</v>
      </c>
      <c r="T75" s="670"/>
      <c r="U75" s="143"/>
    </row>
    <row r="76" spans="1:21" s="42" customFormat="1" ht="13.5" thickBot="1" x14ac:dyDescent="0.25">
      <c r="A76" s="143"/>
      <c r="B76" s="143"/>
      <c r="C76" s="143"/>
      <c r="D76" s="143"/>
      <c r="E76" s="143"/>
      <c r="F76" s="143"/>
      <c r="G76" s="202"/>
      <c r="H76" s="270"/>
      <c r="I76" s="271"/>
      <c r="J76" s="272"/>
      <c r="K76" s="271"/>
      <c r="L76" s="270"/>
      <c r="M76" s="271"/>
      <c r="N76" s="270"/>
      <c r="O76" s="271"/>
      <c r="P76" s="273"/>
      <c r="Q76" s="199"/>
      <c r="R76" s="274"/>
      <c r="S76" s="270"/>
      <c r="T76" s="272"/>
      <c r="U76" s="143"/>
    </row>
    <row r="77" spans="1:21" s="42" customFormat="1" ht="16.5" customHeight="1" thickBot="1" x14ac:dyDescent="0.25">
      <c r="A77" s="143"/>
      <c r="B77" s="649" t="s">
        <v>426</v>
      </c>
      <c r="C77" s="650"/>
      <c r="D77" s="650"/>
      <c r="E77" s="650"/>
      <c r="F77" s="650"/>
      <c r="G77" s="661"/>
      <c r="H77" s="275"/>
      <c r="I77" s="80"/>
      <c r="J77" s="276"/>
      <c r="K77" s="169"/>
      <c r="L77" s="276"/>
      <c r="M77" s="169"/>
      <c r="N77" s="276"/>
      <c r="O77" s="169"/>
      <c r="P77" s="276"/>
      <c r="Q77" s="80"/>
      <c r="R77" s="169"/>
      <c r="S77" s="80"/>
      <c r="T77" s="260"/>
      <c r="U77" s="143"/>
    </row>
    <row r="78" spans="1:21" s="42" customFormat="1" ht="12.75" customHeight="1" x14ac:dyDescent="0.2">
      <c r="A78" s="143"/>
      <c r="B78" s="143"/>
      <c r="C78" s="160"/>
      <c r="D78" s="160"/>
      <c r="E78" s="160"/>
      <c r="F78" s="160"/>
      <c r="G78" s="160"/>
      <c r="H78" s="277"/>
      <c r="I78" s="80"/>
      <c r="J78" s="276"/>
      <c r="K78" s="169"/>
      <c r="L78" s="276"/>
      <c r="M78" s="169"/>
      <c r="N78" s="276"/>
      <c r="O78" s="169"/>
      <c r="P78" s="276"/>
      <c r="Q78" s="80"/>
      <c r="R78" s="169"/>
      <c r="S78" s="80"/>
      <c r="T78" s="260"/>
      <c r="U78" s="143"/>
    </row>
    <row r="79" spans="1:21" s="42" customFormat="1" x14ac:dyDescent="0.2">
      <c r="A79" s="143"/>
      <c r="B79" s="143"/>
      <c r="C79" s="162" t="s">
        <v>561</v>
      </c>
      <c r="D79" s="162"/>
      <c r="E79" s="227" t="s">
        <v>329</v>
      </c>
      <c r="F79" s="227"/>
      <c r="G79" s="143"/>
      <c r="H79" s="636" t="s">
        <v>1</v>
      </c>
      <c r="I79" s="637"/>
      <c r="J79" s="636" t="s">
        <v>1</v>
      </c>
      <c r="K79" s="637"/>
      <c r="L79" s="636">
        <f>'Calculation with N1 Modifier 5B'!$D$79</f>
        <v>0</v>
      </c>
      <c r="M79" s="637"/>
      <c r="N79" s="636">
        <f>'Calculation with N1 Modifier 5B'!$D$75</f>
        <v>0</v>
      </c>
      <c r="O79" s="637"/>
      <c r="P79" s="636" t="str">
        <f>IF('RATINGS QUESTION'!$K$5="YES","N/A",'Calculation with N1 Modifier 5B'!$E$79)</f>
        <v>N/A</v>
      </c>
      <c r="Q79" s="647"/>
      <c r="R79" s="637"/>
      <c r="S79" s="636" t="str">
        <f>IF('RATINGS QUESTION'!$K$5="YES","N/A",'Calculation with N1 Modifier 5B'!$E$75)</f>
        <v>N/A</v>
      </c>
      <c r="T79" s="647"/>
      <c r="U79" s="143"/>
    </row>
    <row r="80" spans="1:21" s="42" customFormat="1" x14ac:dyDescent="0.2">
      <c r="A80" s="143"/>
      <c r="B80" s="143"/>
      <c r="C80" s="162" t="s">
        <v>565</v>
      </c>
      <c r="D80" s="162"/>
      <c r="E80" s="227" t="s">
        <v>330</v>
      </c>
      <c r="F80" s="227"/>
      <c r="G80" s="143"/>
      <c r="H80" s="636" t="s">
        <v>1</v>
      </c>
      <c r="I80" s="637"/>
      <c r="J80" s="636" t="s">
        <v>1</v>
      </c>
      <c r="K80" s="637"/>
      <c r="L80" s="636">
        <f>'Calculation with N1 Modifier 5B'!$D$77</f>
        <v>0</v>
      </c>
      <c r="M80" s="637"/>
      <c r="N80" s="636">
        <f>'Calculation with N1 Modifier 5B'!$D$73</f>
        <v>0</v>
      </c>
      <c r="O80" s="637"/>
      <c r="P80" s="636" t="str">
        <f>IF('RATINGS QUESTION'!$K$5="YES","N/A",'Calculation with N1 Modifier 5B'!$E$77)</f>
        <v>N/A</v>
      </c>
      <c r="Q80" s="647"/>
      <c r="R80" s="637"/>
      <c r="S80" s="636" t="str">
        <f>IF('RATINGS QUESTION'!$K$5="YES","N/A",'Calculation with N1 Modifier 5B'!$E$73)</f>
        <v>N/A</v>
      </c>
      <c r="T80" s="647"/>
      <c r="U80" s="143"/>
    </row>
    <row r="81" spans="1:21" s="42" customFormat="1" x14ac:dyDescent="0.2">
      <c r="A81" s="143"/>
      <c r="B81" s="143"/>
      <c r="C81" s="162" t="s">
        <v>558</v>
      </c>
      <c r="D81" s="162"/>
      <c r="E81" s="227" t="s">
        <v>331</v>
      </c>
      <c r="F81" s="227"/>
      <c r="G81" s="143"/>
      <c r="H81" s="645" t="s">
        <v>1</v>
      </c>
      <c r="I81" s="646"/>
      <c r="J81" s="645" t="s">
        <v>1</v>
      </c>
      <c r="K81" s="646"/>
      <c r="L81" s="658">
        <f>'Calculation with N1 Modifier 5B'!$D$78</f>
        <v>0</v>
      </c>
      <c r="M81" s="659"/>
      <c r="N81" s="658">
        <f>'Calculation with N1 Modifier 5B'!$D$74</f>
        <v>0</v>
      </c>
      <c r="O81" s="659"/>
      <c r="P81" s="658" t="str">
        <f>IF('RATINGS QUESTION'!$K$5="YES","N/A",'Calculation with N1 Modifier 5B'!$E$78)</f>
        <v>N/A</v>
      </c>
      <c r="Q81" s="660"/>
      <c r="R81" s="659"/>
      <c r="S81" s="658" t="str">
        <f>IF('RATINGS QUESTION'!$K$5="YES","N/A",'Calculation with N1 Modifier 5B'!$E$74)</f>
        <v>N/A</v>
      </c>
      <c r="T81" s="660"/>
      <c r="U81" s="143"/>
    </row>
    <row r="82" spans="1:21" s="42" customFormat="1" ht="13.5" thickBot="1" x14ac:dyDescent="0.25">
      <c r="A82" s="143"/>
      <c r="B82" s="143"/>
      <c r="C82" s="162"/>
      <c r="D82" s="162"/>
      <c r="E82" s="227"/>
      <c r="F82" s="227"/>
      <c r="G82" s="143"/>
      <c r="H82" s="276"/>
      <c r="I82" s="80"/>
      <c r="J82" s="276"/>
      <c r="K82" s="169"/>
      <c r="L82" s="276"/>
      <c r="M82" s="169"/>
      <c r="N82" s="641"/>
      <c r="O82" s="643"/>
      <c r="P82" s="276"/>
      <c r="Q82" s="80"/>
      <c r="R82" s="169"/>
      <c r="S82" s="273"/>
      <c r="T82" s="260"/>
      <c r="U82" s="143"/>
    </row>
    <row r="83" spans="1:21" s="42" customFormat="1" ht="16.5" thickBot="1" x14ac:dyDescent="0.25">
      <c r="A83" s="143"/>
      <c r="B83" s="649" t="s">
        <v>427</v>
      </c>
      <c r="C83" s="650"/>
      <c r="D83" s="650"/>
      <c r="E83" s="650"/>
      <c r="F83" s="650"/>
      <c r="G83" s="661"/>
      <c r="H83" s="275"/>
      <c r="I83" s="80"/>
      <c r="J83" s="276"/>
      <c r="K83" s="169"/>
      <c r="L83" s="276"/>
      <c r="M83" s="169"/>
      <c r="N83" s="641"/>
      <c r="O83" s="643"/>
      <c r="P83" s="276"/>
      <c r="Q83" s="80"/>
      <c r="R83" s="169"/>
      <c r="S83" s="273"/>
      <c r="T83" s="260"/>
      <c r="U83" s="143"/>
    </row>
    <row r="84" spans="1:21" s="42" customFormat="1" ht="12.75" customHeight="1" x14ac:dyDescent="0.2">
      <c r="A84" s="143"/>
      <c r="B84" s="143"/>
      <c r="C84" s="160"/>
      <c r="D84" s="160"/>
      <c r="E84" s="160"/>
      <c r="F84" s="160"/>
      <c r="G84" s="160"/>
      <c r="H84" s="277"/>
      <c r="I84" s="80"/>
      <c r="J84" s="276"/>
      <c r="K84" s="169"/>
      <c r="L84" s="276"/>
      <c r="M84" s="169"/>
      <c r="N84" s="641"/>
      <c r="O84" s="643"/>
      <c r="P84" s="276"/>
      <c r="Q84" s="80"/>
      <c r="R84" s="169"/>
      <c r="S84" s="273"/>
      <c r="T84" s="260"/>
      <c r="U84" s="143"/>
    </row>
    <row r="85" spans="1:21" s="42" customFormat="1" x14ac:dyDescent="0.2">
      <c r="A85" s="143"/>
      <c r="B85" s="143"/>
      <c r="C85" s="162" t="s">
        <v>562</v>
      </c>
      <c r="D85" s="162"/>
      <c r="E85" s="227" t="s">
        <v>329</v>
      </c>
      <c r="F85" s="227"/>
      <c r="G85" s="143"/>
      <c r="H85" s="636" t="s">
        <v>1</v>
      </c>
      <c r="I85" s="637"/>
      <c r="J85" s="636" t="s">
        <v>1</v>
      </c>
      <c r="K85" s="637"/>
      <c r="L85" s="636">
        <f>'Calculation with N1 Modifier 5B'!$D$87</f>
        <v>0</v>
      </c>
      <c r="M85" s="637"/>
      <c r="N85" s="636">
        <f>'Calculation with N1 Modifier 5B'!$D$85</f>
        <v>0</v>
      </c>
      <c r="O85" s="637"/>
      <c r="P85" s="636" t="str">
        <f>IF('RATINGS QUESTION'!$K$5="YES","N/A",'Calculation with N1 Modifier 5B'!$E$87)</f>
        <v>N/A</v>
      </c>
      <c r="Q85" s="647"/>
      <c r="R85" s="637"/>
      <c r="S85" s="636">
        <f>'Calculation with N1 Modifier 5B'!$E$85</f>
        <v>0</v>
      </c>
      <c r="T85" s="647"/>
      <c r="U85" s="143"/>
    </row>
    <row r="86" spans="1:21" s="42" customFormat="1" x14ac:dyDescent="0.2">
      <c r="A86" s="143"/>
      <c r="B86" s="143"/>
      <c r="C86" s="162" t="s">
        <v>5</v>
      </c>
      <c r="D86" s="162"/>
      <c r="E86" s="227" t="s">
        <v>331</v>
      </c>
      <c r="F86" s="227"/>
      <c r="G86" s="143"/>
      <c r="H86" s="645" t="s">
        <v>1</v>
      </c>
      <c r="I86" s="646"/>
      <c r="J86" s="645" t="s">
        <v>1</v>
      </c>
      <c r="K86" s="646"/>
      <c r="L86" s="658" t="str">
        <f>'Calculation with N1 Modifier 5B'!$D$88</f>
        <v>N/A</v>
      </c>
      <c r="M86" s="659"/>
      <c r="N86" s="658" t="str">
        <f>'Calculation with N1 Modifier 5B'!$D$86</f>
        <v>N/A</v>
      </c>
      <c r="O86" s="659"/>
      <c r="P86" s="658" t="str">
        <f>IF('RATINGS QUESTION'!$K$5="YES","N/A",'Calculation with N1 Modifier 5B'!$E$88)</f>
        <v>N/A</v>
      </c>
      <c r="Q86" s="660"/>
      <c r="R86" s="659"/>
      <c r="S86" s="658" t="str">
        <f>'Calculation with N1 Modifier 5B'!$E$86</f>
        <v>N/A</v>
      </c>
      <c r="T86" s="660"/>
      <c r="U86" s="143"/>
    </row>
    <row r="87" spans="1:21" s="42" customFormat="1" x14ac:dyDescent="0.2">
      <c r="A87" s="143"/>
      <c r="B87" s="143"/>
      <c r="C87" s="162" t="s">
        <v>515</v>
      </c>
      <c r="D87" s="162"/>
      <c r="E87" s="227" t="s">
        <v>331</v>
      </c>
      <c r="F87" s="227"/>
      <c r="G87" s="143"/>
      <c r="H87" s="645" t="s">
        <v>1</v>
      </c>
      <c r="I87" s="646"/>
      <c r="J87" s="645" t="s">
        <v>1</v>
      </c>
      <c r="K87" s="646"/>
      <c r="L87" s="658" t="str">
        <f>'Calculation with N1 Modifier 5B'!$D$100</f>
        <v>N/A</v>
      </c>
      <c r="M87" s="659"/>
      <c r="N87" s="658" t="str">
        <f>'Calculation with N1 Modifier 5B'!$D$99</f>
        <v>N/A</v>
      </c>
      <c r="O87" s="659"/>
      <c r="P87" s="658" t="str">
        <f>IF('RATINGS QUESTION'!$K$5="YES","N/A",'Calculation with N1 Modifier 5B'!$E$100)</f>
        <v>N/A</v>
      </c>
      <c r="Q87" s="660"/>
      <c r="R87" s="659"/>
      <c r="S87" s="658" t="str">
        <f>IF('RATINGS QUESTION'!$K$5="YES","N/A",'Calculation with N1 Modifier 5B'!$E$99)</f>
        <v>N/A</v>
      </c>
      <c r="T87" s="660"/>
      <c r="U87" s="143"/>
    </row>
    <row r="88" spans="1:21" s="42" customFormat="1" ht="13.5" thickBot="1" x14ac:dyDescent="0.25">
      <c r="A88" s="143"/>
      <c r="B88" s="143"/>
      <c r="C88" s="143"/>
      <c r="D88" s="143"/>
      <c r="E88" s="143"/>
      <c r="F88" s="143"/>
      <c r="G88" s="202"/>
      <c r="H88" s="270"/>
      <c r="I88" s="271"/>
      <c r="J88" s="272"/>
      <c r="K88" s="271"/>
      <c r="L88" s="270"/>
      <c r="M88" s="271"/>
      <c r="N88" s="270"/>
      <c r="O88" s="271"/>
      <c r="P88" s="273"/>
      <c r="Q88" s="199"/>
      <c r="R88" s="274"/>
      <c r="S88" s="270"/>
      <c r="T88" s="272"/>
      <c r="U88" s="143"/>
    </row>
    <row r="89" spans="1:21" s="42" customFormat="1" ht="16.5" customHeight="1" thickBot="1" x14ac:dyDescent="0.25">
      <c r="A89" s="143"/>
      <c r="B89" s="649" t="s">
        <v>357</v>
      </c>
      <c r="C89" s="650"/>
      <c r="D89" s="650"/>
      <c r="E89" s="650"/>
      <c r="F89" s="650"/>
      <c r="G89" s="661"/>
      <c r="H89" s="683"/>
      <c r="I89" s="643"/>
      <c r="J89" s="80"/>
      <c r="K89" s="169"/>
      <c r="L89" s="276"/>
      <c r="M89" s="169"/>
      <c r="N89" s="276"/>
      <c r="O89" s="169"/>
      <c r="P89" s="276"/>
      <c r="Q89" s="80"/>
      <c r="R89" s="169"/>
      <c r="S89" s="276"/>
      <c r="T89" s="80"/>
      <c r="U89" s="143"/>
    </row>
    <row r="90" spans="1:21" s="42" customFormat="1" x14ac:dyDescent="0.2">
      <c r="A90" s="143"/>
      <c r="B90" s="143"/>
      <c r="C90" s="143"/>
      <c r="D90" s="143"/>
      <c r="E90" s="143"/>
      <c r="F90" s="143"/>
      <c r="G90" s="143"/>
      <c r="H90" s="641"/>
      <c r="I90" s="643"/>
      <c r="J90" s="80"/>
      <c r="K90" s="169"/>
      <c r="L90" s="276"/>
      <c r="M90" s="169"/>
      <c r="N90" s="276"/>
      <c r="O90" s="169"/>
      <c r="P90" s="276"/>
      <c r="Q90" s="80"/>
      <c r="R90" s="169"/>
      <c r="S90" s="276"/>
      <c r="T90" s="80"/>
      <c r="U90" s="143"/>
    </row>
    <row r="91" spans="1:21" s="42" customFormat="1" x14ac:dyDescent="0.2">
      <c r="A91" s="143"/>
      <c r="B91" s="143"/>
      <c r="C91" s="162" t="s">
        <v>29</v>
      </c>
      <c r="D91" s="162"/>
      <c r="E91" s="227" t="s">
        <v>329</v>
      </c>
      <c r="F91" s="227"/>
      <c r="G91" s="228"/>
      <c r="H91" s="636" cm="1">
        <f t="array" ref="H91">C_N1 S_mini_idle</f>
        <v>0</v>
      </c>
      <c r="I91" s="637"/>
      <c r="J91" s="636" cm="1">
        <f t="array" ref="J91">C_N1 S_approach_idle</f>
        <v>0</v>
      </c>
      <c r="K91" s="637"/>
      <c r="L91" s="636" cm="1">
        <f t="array" ref="L91">C_N1 S_maxi_continu1</f>
        <v>0</v>
      </c>
      <c r="M91" s="637"/>
      <c r="N91" s="636" cm="1">
        <f t="array" ref="N91">C_N1 S_take_off1</f>
        <v>0</v>
      </c>
      <c r="O91" s="637"/>
      <c r="P91" s="636" t="str" cm="1">
        <f t="array" ref="P91">IF('RATINGS QUESTION'!$K$5="YES","N/A", C_N1 S_maxi_continu2)</f>
        <v>N/A</v>
      </c>
      <c r="Q91" s="647"/>
      <c r="R91" s="637"/>
      <c r="S91" s="636" t="str" cm="1">
        <f t="array" ref="S91">IF('RATINGS QUESTION'!$K$5="YES","N/A", C_N1 S_take_off2)</f>
        <v>N/A</v>
      </c>
      <c r="T91" s="647"/>
      <c r="U91" s="143"/>
    </row>
    <row r="92" spans="1:21" s="42" customFormat="1" x14ac:dyDescent="0.2">
      <c r="A92" s="143"/>
      <c r="B92" s="143"/>
      <c r="C92" s="162" t="s">
        <v>33</v>
      </c>
      <c r="D92" s="162"/>
      <c r="E92" s="227" t="s">
        <v>329</v>
      </c>
      <c r="F92" s="227"/>
      <c r="G92" s="162"/>
      <c r="H92" s="636" cm="1">
        <f t="array" ref="H92">C_N2 S_mini_idle</f>
        <v>0</v>
      </c>
      <c r="I92" s="637"/>
      <c r="J92" s="636" cm="1">
        <f t="array" ref="J92">C_N2 S_approach_idle</f>
        <v>0</v>
      </c>
      <c r="K92" s="637"/>
      <c r="L92" s="636" cm="1">
        <f t="array" ref="L92">C_N2 S_maxi_continu1</f>
        <v>0</v>
      </c>
      <c r="M92" s="637"/>
      <c r="N92" s="636" cm="1">
        <f t="array" ref="N92">C_N2 S_take_off1</f>
        <v>0</v>
      </c>
      <c r="O92" s="637"/>
      <c r="P92" s="636" t="str" cm="1">
        <f t="array" ref="P92">IF('RATINGS QUESTION'!$K$5="YES","N/A", C_N2 S_maxi_continu2)</f>
        <v>N/A</v>
      </c>
      <c r="Q92" s="647"/>
      <c r="R92" s="637"/>
      <c r="S92" s="636" t="str" cm="1">
        <f t="array" ref="S92">IF('RATINGS QUESTION'!$K$5="YES","N/A", C_N2 S_take_off2)</f>
        <v>N/A</v>
      </c>
      <c r="T92" s="647"/>
      <c r="U92" s="143"/>
    </row>
    <row r="93" spans="1:21" s="42" customFormat="1" x14ac:dyDescent="0.2">
      <c r="A93" s="143"/>
      <c r="B93" s="143"/>
      <c r="C93" s="162" t="s">
        <v>152</v>
      </c>
      <c r="D93" s="162"/>
      <c r="E93" s="227" t="s">
        <v>330</v>
      </c>
      <c r="F93" s="227"/>
      <c r="G93" s="162"/>
      <c r="H93" s="636" cm="1">
        <f t="array" ref="H93">C_FNnet S_mini_idle</f>
        <v>0</v>
      </c>
      <c r="I93" s="637"/>
      <c r="J93" s="636" cm="1">
        <f t="array" ref="J93">C_FNnet S_approach_idle</f>
        <v>0</v>
      </c>
      <c r="K93" s="637"/>
      <c r="L93" s="636" cm="1">
        <f t="array" ref="L93">C_FNnet S_maxi_continu1</f>
        <v>0</v>
      </c>
      <c r="M93" s="637"/>
      <c r="N93" s="636" cm="1">
        <f t="array" ref="N93">C_FNnet S_take_off1</f>
        <v>0</v>
      </c>
      <c r="O93" s="637"/>
      <c r="P93" s="636" t="str" cm="1">
        <f t="array" ref="P93">IF('RATINGS QUESTION'!$K$5="YES","N/A", C_FNnet S_maxi_continu2)</f>
        <v>N/A</v>
      </c>
      <c r="Q93" s="647"/>
      <c r="R93" s="637"/>
      <c r="S93" s="636" t="str" cm="1">
        <f t="array" ref="S93">IF('RATINGS QUESTION'!$K$5="YES","N/A", C_FNnet S_take_off2)</f>
        <v>N/A</v>
      </c>
      <c r="T93" s="647"/>
      <c r="U93" s="143"/>
    </row>
    <row r="94" spans="1:21" s="42" customFormat="1" x14ac:dyDescent="0.2">
      <c r="A94" s="143"/>
      <c r="B94" s="143"/>
      <c r="C94" s="162" t="s">
        <v>358</v>
      </c>
      <c r="D94" s="162"/>
      <c r="E94" s="227" t="s">
        <v>330</v>
      </c>
      <c r="F94" s="227"/>
      <c r="G94" s="228"/>
      <c r="H94" s="636" cm="1">
        <f t="array" ref="H94">C_FnCorrTC1Avg S_mini_idle</f>
        <v>0</v>
      </c>
      <c r="I94" s="637"/>
      <c r="J94" s="636" cm="1">
        <f t="array" ref="J94">C_FnCorrTC1Avg S_approach_idle</f>
        <v>0</v>
      </c>
      <c r="K94" s="637"/>
      <c r="L94" s="636" cm="1">
        <f t="array" ref="L94">C_FnCorrTC1Avg S_maxi_continu1</f>
        <v>0</v>
      </c>
      <c r="M94" s="637"/>
      <c r="N94" s="636" cm="1">
        <f t="array" ref="N94">C_FnCorrTC1Avg S_take_off1</f>
        <v>0</v>
      </c>
      <c r="O94" s="637"/>
      <c r="P94" s="636" t="str" cm="1">
        <f t="array" ref="P94">IF('RATINGS QUESTION'!$K$5="YES","N/A", C_FnCorrTC1Avg S_maxi_continu2)</f>
        <v>N/A</v>
      </c>
      <c r="Q94" s="647"/>
      <c r="R94" s="637"/>
      <c r="S94" s="636" t="str" cm="1">
        <f t="array" ref="S94">IF('RATINGS QUESTION'!$K$5="YES","N/A", C_FnCorrTC1Avg S_take_off2)</f>
        <v>N/A</v>
      </c>
      <c r="T94" s="647"/>
      <c r="U94" s="143"/>
    </row>
    <row r="95" spans="1:21" s="42" customFormat="1" x14ac:dyDescent="0.2">
      <c r="A95" s="143"/>
      <c r="B95" s="143"/>
      <c r="C95" s="162" t="s">
        <v>359</v>
      </c>
      <c r="D95" s="162"/>
      <c r="E95" s="227" t="s">
        <v>330</v>
      </c>
      <c r="F95" s="227"/>
      <c r="G95" s="204"/>
      <c r="H95" s="636" cm="1">
        <f t="array" ref="H95">C_FnCorrTC2Avg S_mini_idle</f>
        <v>0</v>
      </c>
      <c r="I95" s="637"/>
      <c r="J95" s="636" cm="1">
        <f t="array" ref="J95">C_FnCorrTC2Avg S_approach_idle</f>
        <v>0</v>
      </c>
      <c r="K95" s="637"/>
      <c r="L95" s="636" cm="1">
        <f t="array" ref="L95">C_FnCorrTC2Avg S_maxi_continu1</f>
        <v>0</v>
      </c>
      <c r="M95" s="637"/>
      <c r="N95" s="636" cm="1">
        <f t="array" ref="N95">C_FnCorrTC2Avg S_take_off1</f>
        <v>0</v>
      </c>
      <c r="O95" s="637"/>
      <c r="P95" s="636" t="str" cm="1">
        <f t="array" ref="P95">IF('RATINGS QUESTION'!$K$5="YES","N/A", C_FnCorrTC2Avg S_maxi_continu2)</f>
        <v>N/A</v>
      </c>
      <c r="Q95" s="647"/>
      <c r="R95" s="637"/>
      <c r="S95" s="636" t="str" cm="1">
        <f t="array" ref="S95">IF('RATINGS QUESTION'!$K$5="YES","N/A", C_FnCorrTC2Avg S_take_off2)</f>
        <v>N/A</v>
      </c>
      <c r="T95" s="647"/>
      <c r="U95" s="143"/>
    </row>
    <row r="96" spans="1:21" s="42" customFormat="1" x14ac:dyDescent="0.2">
      <c r="A96" s="143"/>
      <c r="B96" s="143"/>
      <c r="C96" s="162" t="s">
        <v>66</v>
      </c>
      <c r="D96" s="162"/>
      <c r="E96" s="227" t="s">
        <v>417</v>
      </c>
      <c r="F96" s="203"/>
      <c r="G96" s="143"/>
      <c r="H96" s="658" t="s">
        <v>1</v>
      </c>
      <c r="I96" s="659"/>
      <c r="J96" s="658" t="s">
        <v>1</v>
      </c>
      <c r="K96" s="659"/>
      <c r="L96" s="658" cm="1">
        <f t="array" ref="L96">C_TRISE S_maxi_continu1</f>
        <v>0</v>
      </c>
      <c r="M96" s="659"/>
      <c r="N96" s="658" cm="1">
        <f t="array" ref="N96">C_TRISE S_take_off1</f>
        <v>0</v>
      </c>
      <c r="O96" s="659"/>
      <c r="P96" s="658" t="str" cm="1">
        <f t="array" ref="P96">IF('RATINGS QUESTION'!$K$5="YES","N/A", C_TRISE S_maxi_continu2)</f>
        <v>N/A</v>
      </c>
      <c r="Q96" s="660"/>
      <c r="R96" s="659"/>
      <c r="S96" s="658" t="str" cm="1">
        <f t="array" ref="S96">IF('RATINGS QUESTION'!$K$5="YES","N/A", C_TRISE S_take_off2)</f>
        <v>N/A</v>
      </c>
      <c r="T96" s="660"/>
      <c r="U96" s="143"/>
    </row>
    <row r="97" spans="1:21" s="42" customFormat="1" x14ac:dyDescent="0.2">
      <c r="A97" s="143"/>
      <c r="B97" s="143"/>
      <c r="C97" s="149" t="s">
        <v>360</v>
      </c>
      <c r="D97" s="149"/>
      <c r="E97" s="227" t="s">
        <v>331</v>
      </c>
      <c r="F97" s="227"/>
      <c r="G97" s="204"/>
      <c r="H97" s="658" cm="1">
        <f t="array" ref="H97">C_T_Fuel_Fac S_mini_idle</f>
        <v>0</v>
      </c>
      <c r="I97" s="659"/>
      <c r="J97" s="658" cm="1">
        <f t="array" ref="J97">C_T_Fuel_Fac S_approach_idle</f>
        <v>0</v>
      </c>
      <c r="K97" s="659"/>
      <c r="L97" s="658" cm="1">
        <f t="array" ref="L97">C_T_Fuel_Fac S_maxi_continu1</f>
        <v>0</v>
      </c>
      <c r="M97" s="659"/>
      <c r="N97" s="658" cm="1">
        <f t="array" ref="N97">C_T_Fuel_Fac S_take_off1</f>
        <v>0</v>
      </c>
      <c r="O97" s="659"/>
      <c r="P97" s="658" t="str" cm="1">
        <f t="array" ref="P97">IF('RATINGS QUESTION'!$K$5="YES","N/A", C_T_Fuel_Fac S_maxi_continu2)</f>
        <v>N/A</v>
      </c>
      <c r="Q97" s="660"/>
      <c r="R97" s="659"/>
      <c r="S97" s="658" t="str" cm="1">
        <f t="array" ref="S97">IF('RATINGS QUESTION'!$K$5="YES","N/A", C_T_Fuel_Fac S_take_off2)</f>
        <v>N/A</v>
      </c>
      <c r="T97" s="660"/>
      <c r="U97" s="143"/>
    </row>
    <row r="98" spans="1:21" s="42" customFormat="1" x14ac:dyDescent="0.2">
      <c r="A98" s="143"/>
      <c r="B98" s="143"/>
      <c r="C98" s="149" t="s">
        <v>361</v>
      </c>
      <c r="D98" s="149"/>
      <c r="E98" s="227" t="s">
        <v>362</v>
      </c>
      <c r="F98" s="227"/>
      <c r="G98" s="204"/>
      <c r="H98" s="633" cm="1">
        <f t="array" ref="H98">C_P_Fuel S_mini_idle</f>
        <v>0</v>
      </c>
      <c r="I98" s="635"/>
      <c r="J98" s="633" cm="1">
        <f t="array" ref="J98">C_P_Fuel S_approach_idle</f>
        <v>0</v>
      </c>
      <c r="K98" s="635"/>
      <c r="L98" s="633" cm="1">
        <f t="array" ref="L98">C_P_Fuel S_maxi_continu1</f>
        <v>0</v>
      </c>
      <c r="M98" s="635"/>
      <c r="N98" s="633" cm="1">
        <f t="array" ref="N98">C_P_Fuel S_take_off1</f>
        <v>0</v>
      </c>
      <c r="O98" s="635"/>
      <c r="P98" s="633" t="str" cm="1">
        <f t="array" ref="P98">IF('RATINGS QUESTION'!$K$5="YES","N/A", C_P_Fuel S_maxi_continu2)</f>
        <v>N/A</v>
      </c>
      <c r="Q98" s="634"/>
      <c r="R98" s="635"/>
      <c r="S98" s="633" t="str" cm="1">
        <f t="array" ref="S98">IF('RATINGS QUESTION'!$K$5="YES","N/A", C_P_Fuel S_take_off2)</f>
        <v>N/A</v>
      </c>
      <c r="T98" s="634"/>
      <c r="U98" s="143"/>
    </row>
    <row r="99" spans="1:21" s="42" customFormat="1" x14ac:dyDescent="0.2">
      <c r="A99" s="143"/>
      <c r="B99" s="143"/>
      <c r="C99" s="149" t="s">
        <v>75</v>
      </c>
      <c r="D99" s="149"/>
      <c r="E99" s="488" t="s">
        <v>356</v>
      </c>
      <c r="F99" s="488"/>
      <c r="G99" s="204"/>
      <c r="H99" s="492"/>
      <c r="I99" s="493"/>
      <c r="J99" s="492"/>
      <c r="K99" s="493"/>
      <c r="L99" s="492"/>
      <c r="M99" s="493"/>
      <c r="N99" s="492"/>
      <c r="O99" s="493"/>
      <c r="P99" s="492"/>
      <c r="Q99" s="494"/>
      <c r="R99" s="493"/>
      <c r="S99" s="492"/>
      <c r="T99" s="494"/>
      <c r="U99" s="143"/>
    </row>
    <row r="100" spans="1:21" s="42" customFormat="1" ht="12.75" customHeight="1" x14ac:dyDescent="0.2">
      <c r="A100" s="205"/>
      <c r="B100" s="205"/>
      <c r="C100" s="149" t="s">
        <v>363</v>
      </c>
      <c r="D100" s="149"/>
      <c r="E100" s="227" t="s">
        <v>356</v>
      </c>
      <c r="F100" s="227"/>
      <c r="G100" s="229"/>
      <c r="H100" s="636" cm="1">
        <f t="array" ref="H100">C_WF1 S_mini_idle</f>
        <v>0</v>
      </c>
      <c r="I100" s="637"/>
      <c r="J100" s="636" cm="1">
        <f t="array" ref="J100">C_WF1 S_approach_idle</f>
        <v>0</v>
      </c>
      <c r="K100" s="637"/>
      <c r="L100" s="636" cm="1">
        <f t="array" ref="L100">C_WF1 S_maxi_continu1</f>
        <v>0</v>
      </c>
      <c r="M100" s="637"/>
      <c r="N100" s="636" cm="1">
        <f t="array" ref="N100">C_WF1 S_take_off1</f>
        <v>0</v>
      </c>
      <c r="O100" s="637"/>
      <c r="P100" s="636" t="str" cm="1">
        <f t="array" ref="P100">IF('RATINGS QUESTION'!$K$5="YES","N/A", C_WF1 S_maxi_continu2)</f>
        <v>N/A</v>
      </c>
      <c r="Q100" s="647"/>
      <c r="R100" s="637"/>
      <c r="S100" s="636" t="str" cm="1">
        <f t="array" ref="S100">IF('RATINGS QUESTION'!$K$5="YES","N/A", C_WF1 S_take_off2)</f>
        <v>N/A</v>
      </c>
      <c r="T100" s="647"/>
      <c r="U100" s="149"/>
    </row>
    <row r="101" spans="1:21" s="42" customFormat="1" ht="12.75" customHeight="1" x14ac:dyDescent="0.2">
      <c r="A101" s="143"/>
      <c r="B101" s="143"/>
      <c r="C101" s="149" t="s">
        <v>364</v>
      </c>
      <c r="D101" s="149"/>
      <c r="E101" s="227" t="s">
        <v>356</v>
      </c>
      <c r="F101" s="227"/>
      <c r="G101" s="143"/>
      <c r="H101" s="636" cm="1">
        <f t="array" ref="H101">C_WF2 S_mini_idle</f>
        <v>0</v>
      </c>
      <c r="I101" s="637"/>
      <c r="J101" s="636" cm="1">
        <f t="array" ref="J101">C_WF2 S_approach_idle</f>
        <v>0</v>
      </c>
      <c r="K101" s="637"/>
      <c r="L101" s="636" cm="1">
        <f t="array" ref="L101">C_WF2 S_maxi_continu1</f>
        <v>0</v>
      </c>
      <c r="M101" s="637"/>
      <c r="N101" s="636" cm="1">
        <f t="array" ref="N101">C_WF2 S_take_off1</f>
        <v>0</v>
      </c>
      <c r="O101" s="637"/>
      <c r="P101" s="636" t="str" cm="1">
        <f t="array" ref="P101">IF('RATINGS QUESTION'!$K$5="YES","N/A", C_WF2 S_maxi_continu2)</f>
        <v>N/A</v>
      </c>
      <c r="Q101" s="647"/>
      <c r="R101" s="637"/>
      <c r="S101" s="636" t="str" cm="1">
        <f t="array" ref="S101">IF('RATINGS QUESTION'!$K$5="YES","N/A", C_WF2 S_take_off2)</f>
        <v>N/A</v>
      </c>
      <c r="T101" s="647"/>
      <c r="U101" s="149"/>
    </row>
    <row r="102" spans="1:21" s="42" customFormat="1" x14ac:dyDescent="0.2">
      <c r="A102" s="143"/>
      <c r="B102" s="143"/>
      <c r="C102" s="149" t="s">
        <v>23</v>
      </c>
      <c r="D102" s="149"/>
      <c r="E102" s="227" t="s">
        <v>365</v>
      </c>
      <c r="F102" s="227"/>
      <c r="G102" s="143"/>
      <c r="H102" s="636" cm="1">
        <f t="array" ref="H102">C_LHV S_mini_idle</f>
        <v>0</v>
      </c>
      <c r="I102" s="637"/>
      <c r="J102" s="636" cm="1">
        <f t="array" ref="J102">C_LHV S_approach_idle</f>
        <v>0</v>
      </c>
      <c r="K102" s="637"/>
      <c r="L102" s="636" cm="1">
        <f t="array" ref="L102">C_LHV S_maxi_continu1</f>
        <v>0</v>
      </c>
      <c r="M102" s="637"/>
      <c r="N102" s="636" cm="1">
        <f t="array" ref="N102">C_LHV S_take_off1</f>
        <v>0</v>
      </c>
      <c r="O102" s="637"/>
      <c r="P102" s="641" t="str" cm="1">
        <f t="array" ref="P102">IF('RATINGS QUESTION'!$K$5="YES","N/A", C_LHV S_maxi_continu2)</f>
        <v>N/A</v>
      </c>
      <c r="Q102" s="642"/>
      <c r="R102" s="643"/>
      <c r="S102" s="636" t="str" cm="1">
        <f t="array" ref="S102">IF('RATINGS QUESTION'!$K$5="YES","N/A", C_LHV S_take_off2)</f>
        <v>N/A</v>
      </c>
      <c r="T102" s="647"/>
      <c r="U102" s="168"/>
    </row>
    <row r="103" spans="1:21" s="42" customFormat="1" x14ac:dyDescent="0.2">
      <c r="A103" s="143"/>
      <c r="B103" s="143"/>
      <c r="C103" s="149" t="s">
        <v>97</v>
      </c>
      <c r="D103" s="149"/>
      <c r="E103" s="206" t="s">
        <v>0</v>
      </c>
      <c r="F103" s="206"/>
      <c r="G103" s="143"/>
      <c r="H103" s="633" cm="1">
        <f t="array" ref="H103">C_SGFuel S_mini_idle</f>
        <v>0</v>
      </c>
      <c r="I103" s="635"/>
      <c r="J103" s="633" cm="1">
        <f t="array" ref="J103">C_SGFuel S_approach_idle</f>
        <v>0</v>
      </c>
      <c r="K103" s="635"/>
      <c r="L103" s="633" cm="1">
        <f t="array" ref="L103">C_SGFuel S_maxi_continu1</f>
        <v>0</v>
      </c>
      <c r="M103" s="635"/>
      <c r="N103" s="633" cm="1">
        <f t="array" ref="N103">C_SGFuel S_take_off1</f>
        <v>0</v>
      </c>
      <c r="O103" s="635"/>
      <c r="P103" s="633" t="str" cm="1">
        <f t="array" ref="P103">IF('RATINGS QUESTION'!$K$5="YES","N/A", C_SGFuel S_maxi_continu2)</f>
        <v>N/A</v>
      </c>
      <c r="Q103" s="634"/>
      <c r="R103" s="635"/>
      <c r="S103" s="633" t="str" cm="1">
        <f t="array" ref="S103">IF('RATINGS QUESTION'!$K$5="YES","N/A", C_SGFuel S_take_off2)</f>
        <v>N/A</v>
      </c>
      <c r="T103" s="634"/>
      <c r="U103" s="168"/>
    </row>
    <row r="104" spans="1:21" s="42" customFormat="1" x14ac:dyDescent="0.2">
      <c r="A104" s="143"/>
      <c r="B104" s="143"/>
      <c r="C104" s="149" t="s">
        <v>62</v>
      </c>
      <c r="D104" s="149"/>
      <c r="E104" s="227" t="s">
        <v>3</v>
      </c>
      <c r="F104" s="227"/>
      <c r="G104" s="143"/>
      <c r="H104" s="645" cm="1">
        <f t="array" ref="H104">C_RHFront S_mini_idle</f>
        <v>0</v>
      </c>
      <c r="I104" s="646"/>
      <c r="J104" s="645" cm="1">
        <f t="array" ref="J104">C_RHFront S_approach_idle</f>
        <v>0</v>
      </c>
      <c r="K104" s="646"/>
      <c r="L104" s="645" cm="1">
        <f t="array" ref="L104">C_RHFront S_maxi_continu1</f>
        <v>0</v>
      </c>
      <c r="M104" s="646"/>
      <c r="N104" s="645" cm="1">
        <f t="array" ref="N104">C_RHFront S_take_off1</f>
        <v>0</v>
      </c>
      <c r="O104" s="646"/>
      <c r="P104" s="645" t="str" cm="1">
        <f t="array" ref="P104">IF('RATINGS QUESTION'!$K$5="YES","N/A", C_RHFront S_maxi_continu2)</f>
        <v>N/A</v>
      </c>
      <c r="Q104" s="648"/>
      <c r="R104" s="646"/>
      <c r="S104" s="645" t="str" cm="1">
        <f t="array" ref="S104">IF('RATINGS QUESTION'!$K$5="YES","N/A", C_RHFront S_take_off2)</f>
        <v>N/A</v>
      </c>
      <c r="T104" s="648"/>
      <c r="U104" s="168"/>
    </row>
    <row r="105" spans="1:21" s="42" customFormat="1" x14ac:dyDescent="0.2">
      <c r="A105" s="143"/>
      <c r="B105" s="143"/>
      <c r="C105" s="149" t="s">
        <v>566</v>
      </c>
      <c r="D105" s="149"/>
      <c r="E105" s="227" t="s">
        <v>3</v>
      </c>
      <c r="F105" s="227"/>
      <c r="G105" s="143"/>
      <c r="H105" s="645" cm="1">
        <f t="array" ref="H105">C_RHRear S_mini_idle</f>
        <v>0</v>
      </c>
      <c r="I105" s="646"/>
      <c r="J105" s="645" cm="1">
        <f t="array" ref="J105">C_RHRear S_approach_idle</f>
        <v>0</v>
      </c>
      <c r="K105" s="646"/>
      <c r="L105" s="645" cm="1">
        <f t="array" ref="L105">C_RHRear S_maxi_continu1</f>
        <v>0</v>
      </c>
      <c r="M105" s="646"/>
      <c r="N105" s="645" cm="1">
        <f t="array" ref="N105">C_RHRear S_take_off1</f>
        <v>0</v>
      </c>
      <c r="O105" s="646"/>
      <c r="P105" s="645" t="str" cm="1">
        <f t="array" ref="P105">IF('RATINGS QUESTION'!$K$5="YES","N/A", C_RHRear S_maxi_continu2)</f>
        <v>N/A</v>
      </c>
      <c r="Q105" s="648"/>
      <c r="R105" s="646"/>
      <c r="S105" s="645" t="str" cm="1">
        <f t="array" ref="S105">IF('RATINGS QUESTION'!$K$5="YES","N/A", C_RHRear S_take_off2)</f>
        <v>N/A</v>
      </c>
      <c r="T105" s="648"/>
      <c r="U105" s="143"/>
    </row>
    <row r="106" spans="1:21" s="42" customFormat="1" x14ac:dyDescent="0.2">
      <c r="A106" s="143"/>
      <c r="B106" s="143"/>
      <c r="C106" s="149" t="s">
        <v>567</v>
      </c>
      <c r="D106" s="149"/>
      <c r="E106" s="227" t="s">
        <v>366</v>
      </c>
      <c r="F106" s="227"/>
      <c r="G106" s="143"/>
      <c r="H106" s="645" t="e" cm="1">
        <f t="array" ref="H106">C_HUM S_mini_idle</f>
        <v>#REF!</v>
      </c>
      <c r="I106" s="646"/>
      <c r="J106" s="645" t="e" cm="1">
        <f t="array" ref="J106">C_HUM S_approach_idle</f>
        <v>#REF!</v>
      </c>
      <c r="K106" s="646"/>
      <c r="L106" s="645" t="e" cm="1">
        <f t="array" ref="L106">C_HUM S_maxi_continu1</f>
        <v>#REF!</v>
      </c>
      <c r="M106" s="646"/>
      <c r="N106" s="645" t="e" cm="1">
        <f t="array" ref="N106">C_HUM S_take_off1</f>
        <v>#REF!</v>
      </c>
      <c r="O106" s="646"/>
      <c r="P106" s="645" t="str" cm="1">
        <f t="array" ref="P106">IF('RATINGS QUESTION'!$K$5="YES","N/A", C_HUM S_maxi_continu2)</f>
        <v>N/A</v>
      </c>
      <c r="Q106" s="648"/>
      <c r="R106" s="646"/>
      <c r="S106" s="645" t="str" cm="1">
        <f t="array" ref="S106">IF('RATINGS QUESTION'!$K$5="YES","N/A", C_HUM S_take_off2)</f>
        <v>N/A</v>
      </c>
      <c r="T106" s="648"/>
      <c r="U106" s="143"/>
    </row>
    <row r="107" spans="1:21" s="42" customFormat="1" ht="14.25" x14ac:dyDescent="0.2">
      <c r="A107" s="143"/>
      <c r="B107" s="143"/>
      <c r="C107" s="143"/>
      <c r="D107" s="143"/>
      <c r="E107" s="143"/>
      <c r="F107" s="143"/>
      <c r="G107" s="143"/>
      <c r="H107" s="158"/>
      <c r="I107" s="159"/>
      <c r="J107" s="143"/>
      <c r="K107" s="159"/>
      <c r="L107" s="158"/>
      <c r="M107" s="159"/>
      <c r="N107" s="158"/>
      <c r="O107" s="159"/>
      <c r="P107" s="215"/>
      <c r="Q107" s="216"/>
      <c r="R107" s="217"/>
      <c r="S107" s="158"/>
      <c r="T107" s="143"/>
      <c r="U107" s="143"/>
    </row>
    <row r="108" spans="1:21" s="42" customFormat="1" ht="14.25" x14ac:dyDescent="0.2">
      <c r="A108" s="143"/>
      <c r="B108" s="143"/>
      <c r="C108" s="143"/>
      <c r="D108" s="143"/>
      <c r="E108" s="143"/>
      <c r="F108" s="143"/>
      <c r="G108" s="143"/>
      <c r="H108" s="158"/>
      <c r="I108" s="159"/>
      <c r="J108" s="143"/>
      <c r="K108" s="159"/>
      <c r="L108" s="158"/>
      <c r="M108" s="159"/>
      <c r="N108" s="158"/>
      <c r="O108" s="159"/>
      <c r="P108" s="215"/>
      <c r="Q108" s="216"/>
      <c r="R108" s="217"/>
      <c r="S108" s="158"/>
      <c r="T108" s="143"/>
      <c r="U108" s="143"/>
    </row>
    <row r="109" spans="1:21" s="42" customFormat="1" ht="14.25" x14ac:dyDescent="0.2">
      <c r="A109" s="143"/>
      <c r="B109" s="143"/>
      <c r="C109" s="143"/>
      <c r="D109" s="143"/>
      <c r="E109" s="143"/>
      <c r="F109" s="143"/>
      <c r="G109" s="143"/>
      <c r="H109" s="158"/>
      <c r="I109" s="159"/>
      <c r="J109" s="143"/>
      <c r="K109" s="159"/>
      <c r="L109" s="158"/>
      <c r="M109" s="159"/>
      <c r="N109" s="158"/>
      <c r="O109" s="159"/>
      <c r="P109" s="215"/>
      <c r="Q109" s="216"/>
      <c r="R109" s="217"/>
      <c r="S109" s="158"/>
      <c r="T109" s="143"/>
      <c r="U109" s="143"/>
    </row>
    <row r="110" spans="1:21" s="42" customFormat="1" ht="14.25" x14ac:dyDescent="0.2">
      <c r="A110" s="143"/>
      <c r="B110" s="143"/>
      <c r="C110" s="143"/>
      <c r="D110" s="143"/>
      <c r="E110" s="143"/>
      <c r="F110" s="143"/>
      <c r="G110" s="143"/>
      <c r="H110" s="158"/>
      <c r="I110" s="159"/>
      <c r="J110" s="143"/>
      <c r="K110" s="159"/>
      <c r="L110" s="158"/>
      <c r="M110" s="159"/>
      <c r="N110" s="158"/>
      <c r="O110" s="159"/>
      <c r="P110" s="215"/>
      <c r="Q110" s="216"/>
      <c r="R110" s="217"/>
      <c r="S110" s="158"/>
      <c r="T110" s="143"/>
      <c r="U110" s="143"/>
    </row>
    <row r="111" spans="1:21" s="42" customFormat="1" ht="14.25" x14ac:dyDescent="0.2">
      <c r="A111" s="143"/>
      <c r="B111" s="143"/>
      <c r="C111" s="143"/>
      <c r="D111" s="143"/>
      <c r="E111" s="143"/>
      <c r="F111" s="143"/>
      <c r="G111" s="143"/>
      <c r="H111" s="158"/>
      <c r="I111" s="159"/>
      <c r="J111" s="143"/>
      <c r="K111" s="159"/>
      <c r="L111" s="158"/>
      <c r="M111" s="159"/>
      <c r="N111" s="158"/>
      <c r="O111" s="159"/>
      <c r="P111" s="215"/>
      <c r="Q111" s="216"/>
      <c r="R111" s="217"/>
      <c r="S111" s="158"/>
      <c r="T111" s="143"/>
      <c r="U111" s="143"/>
    </row>
    <row r="112" spans="1:21" s="42" customFormat="1" ht="12.75" customHeight="1" x14ac:dyDescent="0.2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216"/>
      <c r="Q112" s="216"/>
      <c r="R112" s="216"/>
      <c r="S112" s="143"/>
      <c r="T112" s="644"/>
      <c r="U112" s="644"/>
    </row>
    <row r="113" spans="1:21" s="42" customFormat="1" ht="12.75" customHeight="1" x14ac:dyDescent="0.2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216"/>
      <c r="Q113" s="216"/>
      <c r="R113" s="216"/>
      <c r="S113" s="143"/>
      <c r="T113" s="644" t="s">
        <v>420</v>
      </c>
      <c r="U113" s="644"/>
    </row>
    <row r="114" spans="1:21" s="42" customFormat="1" ht="12.75" customHeight="1" x14ac:dyDescent="0.2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216"/>
      <c r="Q114" s="216"/>
      <c r="R114" s="216"/>
      <c r="S114" s="143"/>
      <c r="T114" s="289"/>
      <c r="U114" s="289"/>
    </row>
    <row r="115" spans="1:21" s="42" customFormat="1" ht="16.5" customHeight="1" x14ac:dyDescent="0.25">
      <c r="A115" s="143"/>
      <c r="B115" s="143"/>
      <c r="C115" s="154"/>
      <c r="D115" s="154"/>
      <c r="E115" s="154"/>
      <c r="F115" s="154"/>
      <c r="G115" s="155"/>
      <c r="H115" s="653" t="s">
        <v>526</v>
      </c>
      <c r="I115" s="654"/>
      <c r="J115" s="655" t="s">
        <v>527</v>
      </c>
      <c r="K115" s="654"/>
      <c r="L115" s="655" t="s">
        <v>525</v>
      </c>
      <c r="M115" s="654"/>
      <c r="N115" s="655" t="s">
        <v>441</v>
      </c>
      <c r="O115" s="654"/>
      <c r="P115" s="655" t="s">
        <v>525</v>
      </c>
      <c r="Q115" s="653"/>
      <c r="R115" s="654"/>
      <c r="S115" s="655" t="s">
        <v>441</v>
      </c>
      <c r="T115" s="653"/>
      <c r="U115" s="156"/>
    </row>
    <row r="116" spans="1:21" s="42" customFormat="1" ht="12.75" customHeight="1" x14ac:dyDescent="0.25">
      <c r="A116" s="143"/>
      <c r="B116" s="293"/>
      <c r="C116" s="293"/>
      <c r="D116" s="293"/>
      <c r="E116" s="293"/>
      <c r="F116" s="293"/>
      <c r="G116" s="293"/>
      <c r="H116" s="639"/>
      <c r="I116" s="640"/>
      <c r="J116" s="638"/>
      <c r="K116" s="640"/>
      <c r="L116" s="638" cm="1">
        <f t="array" ref="L116" xml:space="preserve"> VLOOKUP(C_Engine_Rating S_maxi_continu1, enum_list!$A$2:$F$102,3,1)</f>
        <v>0</v>
      </c>
      <c r="M116" s="640"/>
      <c r="N116" s="638" cm="1">
        <f t="array" ref="N116" xml:space="preserve"> VLOOKUP(C_Engine_Rating S_take_off1, enum_list!$A$2:$F$102,3,1)</f>
        <v>0</v>
      </c>
      <c r="O116" s="640"/>
      <c r="P116" s="641" t="str" cm="1">
        <f t="array" ref="P116">IF('RATINGS QUESTION'!$K$5="YES","N/A",VLOOKUP(C_Engine_Rating S_maxi_continu2, enum_list!$A$2:$F$102,3,1))</f>
        <v>N/A</v>
      </c>
      <c r="Q116" s="642"/>
      <c r="R116" s="643"/>
      <c r="S116" s="638" t="str" cm="1">
        <f t="array" ref="S116">IF('RATINGS QUESTION'!$K$5="YES","N/A",VLOOKUP(C_Engine_Rating S_take_off2, enum_list!$A$2:$F$102,3,1))</f>
        <v>N/A</v>
      </c>
      <c r="T116" s="639"/>
      <c r="U116" s="290"/>
    </row>
    <row r="117" spans="1:21" s="42" customFormat="1" ht="12.75" customHeight="1" thickBot="1" x14ac:dyDescent="0.3">
      <c r="A117" s="143"/>
      <c r="B117" s="294"/>
      <c r="C117" s="294"/>
      <c r="D117" s="294"/>
      <c r="E117" s="294"/>
      <c r="F117" s="294"/>
      <c r="G117" s="294"/>
      <c r="H117" s="290"/>
      <c r="I117" s="292"/>
      <c r="J117" s="291"/>
      <c r="K117" s="292"/>
      <c r="L117" s="291"/>
      <c r="M117" s="292"/>
      <c r="N117" s="291"/>
      <c r="O117" s="292"/>
      <c r="P117" s="291"/>
      <c r="Q117" s="290"/>
      <c r="R117" s="292"/>
      <c r="S117" s="291"/>
      <c r="T117" s="290"/>
      <c r="U117" s="290"/>
    </row>
    <row r="118" spans="1:21" ht="16.5" customHeight="1" thickBot="1" x14ac:dyDescent="0.25">
      <c r="A118" s="143"/>
      <c r="B118" s="649" t="s">
        <v>537</v>
      </c>
      <c r="C118" s="650"/>
      <c r="D118" s="650"/>
      <c r="E118" s="650"/>
      <c r="F118" s="650"/>
      <c r="G118" s="661"/>
      <c r="H118" s="157"/>
      <c r="I118" s="159"/>
      <c r="J118" s="143"/>
      <c r="K118" s="159"/>
      <c r="L118" s="158"/>
      <c r="M118" s="159"/>
      <c r="N118" s="158"/>
      <c r="O118" s="159"/>
      <c r="P118" s="158"/>
      <c r="Q118" s="143"/>
      <c r="R118" s="159"/>
      <c r="S118" s="158"/>
      <c r="T118" s="143"/>
      <c r="U118" s="143"/>
    </row>
    <row r="119" spans="1:21" ht="12.75" customHeight="1" x14ac:dyDescent="0.2">
      <c r="A119" s="143"/>
      <c r="B119" s="143"/>
      <c r="C119" s="143"/>
      <c r="D119" s="143"/>
      <c r="E119" s="143"/>
      <c r="F119" s="143"/>
      <c r="G119" s="143"/>
      <c r="H119" s="161"/>
      <c r="I119" s="159"/>
      <c r="J119" s="143"/>
      <c r="K119" s="159"/>
      <c r="L119" s="158"/>
      <c r="M119" s="159"/>
      <c r="N119" s="158"/>
      <c r="O119" s="159"/>
      <c r="P119" s="158"/>
      <c r="Q119" s="143"/>
      <c r="R119" s="159"/>
      <c r="S119" s="158"/>
      <c r="T119" s="143"/>
      <c r="U119" s="143"/>
    </row>
    <row r="120" spans="1:21" ht="12.75" customHeight="1" x14ac:dyDescent="0.2">
      <c r="A120" s="143"/>
      <c r="B120" s="143"/>
      <c r="C120" s="162" t="s">
        <v>67</v>
      </c>
      <c r="D120" s="162"/>
      <c r="E120" s="163" t="s">
        <v>331</v>
      </c>
      <c r="F120" s="163"/>
      <c r="G120" s="160"/>
      <c r="H120" s="658" cm="1">
        <f t="array" ref="H120">C_TT2 S_mini_idle</f>
        <v>0</v>
      </c>
      <c r="I120" s="659"/>
      <c r="J120" s="658" cm="1">
        <f t="array" ref="J120">C_TT2 S_approach_idle</f>
        <v>0</v>
      </c>
      <c r="K120" s="659"/>
      <c r="L120" s="658" cm="1">
        <f t="array" ref="L120">C_TT2 S_maxi_continu1</f>
        <v>0</v>
      </c>
      <c r="M120" s="659"/>
      <c r="N120" s="658" cm="1">
        <f t="array" ref="N120">C_TT2 S_take_off1</f>
        <v>0</v>
      </c>
      <c r="O120" s="659"/>
      <c r="P120" s="658" t="str" cm="1">
        <f t="array" ref="P120">IF('RATINGS QUESTION'!$K$5="YES","N/A", C_TT2 S_maxi_continu2)</f>
        <v>N/A</v>
      </c>
      <c r="Q120" s="660"/>
      <c r="R120" s="659"/>
      <c r="S120" s="658" t="str" cm="1">
        <f t="array" ref="S120">IF('RATINGS QUESTION'!$K$5="YES","N/A", C_TT2 S_take_off2)</f>
        <v>N/A</v>
      </c>
      <c r="T120" s="660"/>
      <c r="U120" s="143"/>
    </row>
    <row r="121" spans="1:21" x14ac:dyDescent="0.2">
      <c r="A121" s="143"/>
      <c r="B121" s="143"/>
      <c r="C121" s="162" t="s">
        <v>568</v>
      </c>
      <c r="D121" s="162"/>
      <c r="E121" s="223" t="s">
        <v>331</v>
      </c>
      <c r="F121" s="223"/>
      <c r="G121" s="143"/>
      <c r="H121" s="658" cm="1">
        <f t="array" ref="H121">C_T_FWD_ADAPT S_mini_idle</f>
        <v>0</v>
      </c>
      <c r="I121" s="659"/>
      <c r="J121" s="658" cm="1">
        <f t="array" ref="J121">C_T_FWD_ADAPT S_approach_idle</f>
        <v>0</v>
      </c>
      <c r="K121" s="659"/>
      <c r="L121" s="658" cm="1">
        <f t="array" ref="L121">C_T_FWD_ADAPT S_maxi_continu1</f>
        <v>0</v>
      </c>
      <c r="M121" s="659"/>
      <c r="N121" s="658" cm="1">
        <f t="array" ref="N121">C_T_FWD_ADAPT S_take_off1</f>
        <v>0</v>
      </c>
      <c r="O121" s="659"/>
      <c r="P121" s="658" t="str" cm="1">
        <f t="array" ref="P121">IF('RATINGS QUESTION'!$K$5="YES","N/A", C_T_FWD_ADAPT S_maxi_continu2)</f>
        <v>N/A</v>
      </c>
      <c r="Q121" s="660"/>
      <c r="R121" s="659"/>
      <c r="S121" s="658" t="str" cm="1">
        <f t="array" ref="S121">IF('RATINGS QUESTION'!$K$5="YES","N/A", C_T_FWD_ADAPT S_take_off2)</f>
        <v>N/A</v>
      </c>
      <c r="T121" s="660"/>
      <c r="U121" s="143"/>
    </row>
    <row r="122" spans="1:21" x14ac:dyDescent="0.2">
      <c r="A122" s="143"/>
      <c r="B122" s="143"/>
      <c r="C122" s="162" t="s">
        <v>569</v>
      </c>
      <c r="D122" s="162"/>
      <c r="E122" s="223" t="s">
        <v>331</v>
      </c>
      <c r="F122" s="223"/>
      <c r="G122" s="143"/>
      <c r="H122" s="658" cm="1">
        <f t="array" ref="H122">C_T_AFT_ADAPT S_mini_idle</f>
        <v>0</v>
      </c>
      <c r="I122" s="659"/>
      <c r="J122" s="658" cm="1">
        <f t="array" ref="J122">C_T_AFT_ADAPT S_approach_idle</f>
        <v>0</v>
      </c>
      <c r="K122" s="659"/>
      <c r="L122" s="658" cm="1">
        <f t="array" ref="L122">C_T_AFT_ADAPT S_maxi_continu1</f>
        <v>0</v>
      </c>
      <c r="M122" s="659"/>
      <c r="N122" s="658" cm="1">
        <f t="array" ref="N122">C_T_AFT_ADAPT S_take_off1</f>
        <v>0</v>
      </c>
      <c r="O122" s="659"/>
      <c r="P122" s="658" t="str" cm="1">
        <f t="array" ref="P122">IF('RATINGS QUESTION'!$K$5="YES","N/A", C_T_AFT_ADAPT S_maxi_continu2)</f>
        <v>N/A</v>
      </c>
      <c r="Q122" s="660"/>
      <c r="R122" s="659"/>
      <c r="S122" s="658" t="str" cm="1">
        <f t="array" ref="S122">IF('RATINGS QUESTION'!$K$5="YES","N/A", C_T_AFT_ADAPT S_take_off2)</f>
        <v>N/A</v>
      </c>
      <c r="T122" s="660"/>
      <c r="U122" s="143"/>
    </row>
    <row r="123" spans="1:21" ht="12.75" customHeight="1" x14ac:dyDescent="0.2">
      <c r="A123" s="143"/>
      <c r="B123" s="143"/>
      <c r="C123" s="162" t="s">
        <v>570</v>
      </c>
      <c r="D123" s="162"/>
      <c r="E123" s="163" t="s">
        <v>331</v>
      </c>
      <c r="F123" s="163"/>
      <c r="G123" s="143"/>
      <c r="H123" s="658" cm="1">
        <f t="array" ref="H123">C_T_Cell_UpPort S_mini_idle</f>
        <v>0</v>
      </c>
      <c r="I123" s="659"/>
      <c r="J123" s="658" cm="1">
        <f t="array" ref="J123">C_T_Cell_UpPort S_approach_idle</f>
        <v>0</v>
      </c>
      <c r="K123" s="659"/>
      <c r="L123" s="658" cm="1">
        <f t="array" ref="L123">C_T_Cell_UpPort S_maxi_continu1</f>
        <v>0</v>
      </c>
      <c r="M123" s="659"/>
      <c r="N123" s="658" cm="1">
        <f t="array" ref="N123">C_T_Cell_UpPort S_take_off1</f>
        <v>0</v>
      </c>
      <c r="O123" s="659"/>
      <c r="P123" s="658" t="str" cm="1">
        <f t="array" ref="P123">IF('RATINGS QUESTION'!$K$5="YES","N/A", C_T_Cell_UpPort S_maxi_continu2)</f>
        <v>N/A</v>
      </c>
      <c r="Q123" s="660"/>
      <c r="R123" s="659"/>
      <c r="S123" s="658" t="str" cm="1">
        <f t="array" ref="S123">IF('RATINGS QUESTION'!$K$5="YES","N/A", C_T_Cell_UpPort S_take_off2)</f>
        <v>N/A</v>
      </c>
      <c r="T123" s="660"/>
      <c r="U123" s="143"/>
    </row>
    <row r="124" spans="1:21" ht="12.75" customHeight="1" x14ac:dyDescent="0.2">
      <c r="A124" s="143"/>
      <c r="B124" s="143"/>
      <c r="C124" s="162" t="s">
        <v>571</v>
      </c>
      <c r="D124" s="162"/>
      <c r="E124" s="163" t="s">
        <v>331</v>
      </c>
      <c r="F124" s="163"/>
      <c r="G124" s="143"/>
      <c r="H124" s="658" cm="1">
        <f t="array" ref="H124">C_T_Cell_UpMid S_mini_idle</f>
        <v>0</v>
      </c>
      <c r="I124" s="659"/>
      <c r="J124" s="658" cm="1">
        <f t="array" ref="J124">C_T_Cell_UpMid S_approach_idle</f>
        <v>0</v>
      </c>
      <c r="K124" s="659"/>
      <c r="L124" s="658" cm="1">
        <f t="array" ref="L124">C_T_Cell_UpMid S_maxi_continu1</f>
        <v>0</v>
      </c>
      <c r="M124" s="659"/>
      <c r="N124" s="658" cm="1">
        <f t="array" ref="N124">C_T_Cell_UpMid S_take_off1</f>
        <v>0</v>
      </c>
      <c r="O124" s="659"/>
      <c r="P124" s="658" t="str" cm="1">
        <f t="array" ref="P124">IF('RATINGS QUESTION'!$K$5="YES","N/A", C_T_Cell_UpMid S_maxi_continu2)</f>
        <v>N/A</v>
      </c>
      <c r="Q124" s="660"/>
      <c r="R124" s="659"/>
      <c r="S124" s="658" t="str" cm="1">
        <f t="array" ref="S124">IF('RATINGS QUESTION'!$K$5="YES","N/A", C_T_Cell_UpMid S_take_off2)</f>
        <v>N/A</v>
      </c>
      <c r="T124" s="660"/>
      <c r="U124" s="143"/>
    </row>
    <row r="125" spans="1:21" x14ac:dyDescent="0.2">
      <c r="A125" s="143"/>
      <c r="B125" s="143"/>
      <c r="C125" s="162" t="s">
        <v>572</v>
      </c>
      <c r="D125" s="162"/>
      <c r="E125" s="163" t="s">
        <v>331</v>
      </c>
      <c r="F125" s="163"/>
      <c r="G125" s="143"/>
      <c r="H125" s="658" cm="1">
        <f t="array" ref="H125">C_T_Cell_UpStbd S_mini_idle</f>
        <v>0</v>
      </c>
      <c r="I125" s="659"/>
      <c r="J125" s="658" cm="1">
        <f t="array" ref="J125">C_T_Cell_UpStbd S_approach_idle</f>
        <v>0</v>
      </c>
      <c r="K125" s="659"/>
      <c r="L125" s="658" cm="1">
        <f t="array" ref="L125">C_T_Cell_UpStbd S_maxi_continu1</f>
        <v>0</v>
      </c>
      <c r="M125" s="659"/>
      <c r="N125" s="658" cm="1">
        <f t="array" ref="N125">C_T_Cell_UpStbd S_take_off1</f>
        <v>0</v>
      </c>
      <c r="O125" s="659"/>
      <c r="P125" s="658" t="str" cm="1">
        <f t="array" ref="P125">IF('RATINGS QUESTION'!$K$5="YES","N/A", C_T_Cell_UpStbd S_maxi_continu2)</f>
        <v>N/A</v>
      </c>
      <c r="Q125" s="660"/>
      <c r="R125" s="659"/>
      <c r="S125" s="658" t="str" cm="1">
        <f t="array" ref="S125">IF('RATINGS QUESTION'!$K$5="YES","N/A", C_T_Cell_UpStbd S_take_off2)</f>
        <v>N/A</v>
      </c>
      <c r="T125" s="660"/>
      <c r="U125" s="143"/>
    </row>
    <row r="126" spans="1:21" x14ac:dyDescent="0.2">
      <c r="A126" s="143"/>
      <c r="B126" s="143"/>
      <c r="C126" s="162" t="s">
        <v>573</v>
      </c>
      <c r="D126" s="162"/>
      <c r="E126" s="163" t="s">
        <v>331</v>
      </c>
      <c r="F126" s="163"/>
      <c r="G126" s="143"/>
      <c r="H126" s="658" cm="1">
        <f t="array" ref="H126">C_T_Cell_CenPort S_mini_idle</f>
        <v>0</v>
      </c>
      <c r="I126" s="659"/>
      <c r="J126" s="658" cm="1">
        <f t="array" ref="J126">C_T_Cell_CenPort S_approach_idle</f>
        <v>0</v>
      </c>
      <c r="K126" s="659"/>
      <c r="L126" s="658" cm="1">
        <f t="array" ref="L126">C_T_Cell_CenPort S_maxi_continu1</f>
        <v>0</v>
      </c>
      <c r="M126" s="659"/>
      <c r="N126" s="658" cm="1">
        <f t="array" ref="N126">C_T_Cell_CenPort S_take_off1</f>
        <v>0</v>
      </c>
      <c r="O126" s="659"/>
      <c r="P126" s="658" t="str" cm="1">
        <f t="array" ref="P126">IF('RATINGS QUESTION'!$K$5="YES","N/A", C_T_Cell_CenPort S_maxi_continu2)</f>
        <v>N/A</v>
      </c>
      <c r="Q126" s="660"/>
      <c r="R126" s="659"/>
      <c r="S126" s="658" t="str" cm="1">
        <f t="array" ref="S126">IF('RATINGS QUESTION'!$K$5="YES","N/A", C_T_Cell_CenPort S_take_off2)</f>
        <v>N/A</v>
      </c>
      <c r="T126" s="660"/>
      <c r="U126" s="143"/>
    </row>
    <row r="127" spans="1:21" x14ac:dyDescent="0.2">
      <c r="A127" s="143"/>
      <c r="B127" s="143"/>
      <c r="C127" s="162" t="s">
        <v>574</v>
      </c>
      <c r="D127" s="162"/>
      <c r="E127" s="163" t="s">
        <v>331</v>
      </c>
      <c r="F127" s="163"/>
      <c r="G127" s="143"/>
      <c r="H127" s="658" cm="1">
        <f t="array" ref="H127">C_T_Cell_Centre S_mini_idle</f>
        <v>0</v>
      </c>
      <c r="I127" s="659"/>
      <c r="J127" s="658" cm="1">
        <f t="array" ref="J127">C_T_Cell_Centre S_approach_idle</f>
        <v>0</v>
      </c>
      <c r="K127" s="659"/>
      <c r="L127" s="658" cm="1">
        <f t="array" ref="L127">C_T_Cell_Centre S_maxi_continu1</f>
        <v>0</v>
      </c>
      <c r="M127" s="659"/>
      <c r="N127" s="658" cm="1">
        <f t="array" ref="N127">C_T_Cell_Centre S_take_off1</f>
        <v>0</v>
      </c>
      <c r="O127" s="659"/>
      <c r="P127" s="658" t="str" cm="1">
        <f t="array" ref="P127">IF('RATINGS QUESTION'!$K$5="YES","N/A", C_T_Cell_Centre S_maxi_continu2)</f>
        <v>N/A</v>
      </c>
      <c r="Q127" s="660"/>
      <c r="R127" s="659"/>
      <c r="S127" s="658" t="str" cm="1">
        <f t="array" ref="S127">IF('RATINGS QUESTION'!$K$5="YES","N/A", C_T_Cell_Centre S_take_off2)</f>
        <v>N/A</v>
      </c>
      <c r="T127" s="660"/>
      <c r="U127" s="143"/>
    </row>
    <row r="128" spans="1:21" x14ac:dyDescent="0.2">
      <c r="A128" s="143"/>
      <c r="B128" s="143"/>
      <c r="C128" s="162" t="s">
        <v>575</v>
      </c>
      <c r="D128" s="162"/>
      <c r="E128" s="163" t="s">
        <v>331</v>
      </c>
      <c r="F128" s="163"/>
      <c r="G128" s="143"/>
      <c r="H128" s="658" cm="1">
        <f t="array" ref="H128">C_T_Cell_CenStbd S_mini_idle</f>
        <v>0</v>
      </c>
      <c r="I128" s="659"/>
      <c r="J128" s="658" cm="1">
        <f t="array" ref="J128">C_T_Cell_CenStbd S_approach_idle</f>
        <v>0</v>
      </c>
      <c r="K128" s="659"/>
      <c r="L128" s="658" cm="1">
        <f t="array" ref="L128">C_T_Cell_CenStbd S_maxi_continu1</f>
        <v>0</v>
      </c>
      <c r="M128" s="659"/>
      <c r="N128" s="658" cm="1">
        <f t="array" ref="N128">C_T_Cell_CenStbd S_take_off1</f>
        <v>0</v>
      </c>
      <c r="O128" s="659"/>
      <c r="P128" s="658" t="str" cm="1">
        <f t="array" ref="P128">IF('RATINGS QUESTION'!$K$5="YES","N/A", C_T_Cell_CenStbd S_maxi_continu2)</f>
        <v>N/A</v>
      </c>
      <c r="Q128" s="660"/>
      <c r="R128" s="659"/>
      <c r="S128" s="658" t="str" cm="1">
        <f t="array" ref="S128">IF('RATINGS QUESTION'!$K$5="YES","N/A", C_T_Cell_CenStbd S_take_off2)</f>
        <v>N/A</v>
      </c>
      <c r="T128" s="660"/>
      <c r="U128" s="143"/>
    </row>
    <row r="129" spans="1:21" x14ac:dyDescent="0.2">
      <c r="A129" s="143"/>
      <c r="B129" s="143"/>
      <c r="C129" s="162" t="s">
        <v>576</v>
      </c>
      <c r="D129" s="162"/>
      <c r="E129" s="163" t="s">
        <v>331</v>
      </c>
      <c r="F129" s="163"/>
      <c r="G129" s="143"/>
      <c r="H129" s="658" cm="1">
        <f t="array" ref="H129">C_T_Cell_LowPort S_mini_idle</f>
        <v>0</v>
      </c>
      <c r="I129" s="659"/>
      <c r="J129" s="658" cm="1">
        <f t="array" ref="J129">C_T_Cell_LowPort S_approach_idle</f>
        <v>0</v>
      </c>
      <c r="K129" s="659"/>
      <c r="L129" s="658" cm="1">
        <f t="array" ref="L129">C_T_Cell_LowPort S_maxi_continu1</f>
        <v>0</v>
      </c>
      <c r="M129" s="659"/>
      <c r="N129" s="658" cm="1">
        <f t="array" ref="N129">C_T_Cell_LowPort S_take_off1</f>
        <v>0</v>
      </c>
      <c r="O129" s="659"/>
      <c r="P129" s="658" t="str" cm="1">
        <f t="array" ref="P129">IF('RATINGS QUESTION'!$K$5="YES","N/A", C_T_Cell_LowPort S_maxi_continu2)</f>
        <v>N/A</v>
      </c>
      <c r="Q129" s="660"/>
      <c r="R129" s="659"/>
      <c r="S129" s="658" t="str" cm="1">
        <f t="array" ref="S129">IF('RATINGS QUESTION'!$K$5="YES","N/A", C_T_Cell_LowPort S_take_off2)</f>
        <v>N/A</v>
      </c>
      <c r="T129" s="660"/>
      <c r="U129" s="143"/>
    </row>
    <row r="130" spans="1:21" x14ac:dyDescent="0.2">
      <c r="A130" s="143"/>
      <c r="B130" s="143"/>
      <c r="C130" s="162" t="s">
        <v>597</v>
      </c>
      <c r="D130" s="162"/>
      <c r="E130" s="163" t="s">
        <v>331</v>
      </c>
      <c r="F130" s="163"/>
      <c r="G130" s="143"/>
      <c r="H130" s="658" cm="1">
        <f t="array" ref="H130">C_T_Cell_LowMid S_mini_idle</f>
        <v>0</v>
      </c>
      <c r="I130" s="659"/>
      <c r="J130" s="658" cm="1">
        <f t="array" ref="J130">C_T_Cell_LowMid S_approach_idle</f>
        <v>0</v>
      </c>
      <c r="K130" s="659"/>
      <c r="L130" s="658" cm="1">
        <f t="array" ref="L130">C_T_Cell_LowMid S_maxi_continu1</f>
        <v>0</v>
      </c>
      <c r="M130" s="659"/>
      <c r="N130" s="658" cm="1">
        <f t="array" ref="N130">C_T_Cell_LowMid S_take_off1</f>
        <v>0</v>
      </c>
      <c r="O130" s="659"/>
      <c r="P130" s="658" t="str" cm="1">
        <f t="array" ref="P130">IF('RATINGS QUESTION'!$K$5="YES","N/A", C_T_Cell_LowMid S_maxi_continu2)</f>
        <v>N/A</v>
      </c>
      <c r="Q130" s="660"/>
      <c r="R130" s="659"/>
      <c r="S130" s="658" t="str" cm="1">
        <f t="array" ref="S130">IF('RATINGS QUESTION'!$K$5="YES","N/A", C_T_Cell_LowMid S_take_off2)</f>
        <v>N/A</v>
      </c>
      <c r="T130" s="660"/>
      <c r="U130" s="143"/>
    </row>
    <row r="131" spans="1:21" x14ac:dyDescent="0.2">
      <c r="A131" s="143"/>
      <c r="B131" s="143"/>
      <c r="C131" s="162" t="s">
        <v>577</v>
      </c>
      <c r="D131" s="162"/>
      <c r="E131" s="488" t="s">
        <v>331</v>
      </c>
      <c r="F131" s="488"/>
      <c r="G131" s="143"/>
      <c r="H131" s="495"/>
      <c r="I131" s="496"/>
      <c r="J131" s="495"/>
      <c r="K131" s="496"/>
      <c r="L131" s="495"/>
      <c r="M131" s="496"/>
      <c r="N131" s="495"/>
      <c r="O131" s="496"/>
      <c r="P131" s="495"/>
      <c r="Q131" s="497"/>
      <c r="R131" s="496"/>
      <c r="S131" s="495"/>
      <c r="T131" s="497"/>
      <c r="U131" s="143"/>
    </row>
    <row r="132" spans="1:21" x14ac:dyDescent="0.2">
      <c r="A132" s="143"/>
      <c r="B132" s="143"/>
      <c r="C132" s="162" t="s">
        <v>578</v>
      </c>
      <c r="D132" s="162"/>
      <c r="E132" s="488" t="s">
        <v>331</v>
      </c>
      <c r="F132" s="488"/>
      <c r="G132" s="143"/>
      <c r="H132" s="495"/>
      <c r="I132" s="496"/>
      <c r="J132" s="495"/>
      <c r="K132" s="496"/>
      <c r="L132" s="495"/>
      <c r="M132" s="496"/>
      <c r="N132" s="495"/>
      <c r="O132" s="496"/>
      <c r="P132" s="495"/>
      <c r="Q132" s="497"/>
      <c r="R132" s="496"/>
      <c r="S132" s="495"/>
      <c r="T132" s="497"/>
      <c r="U132" s="143"/>
    </row>
    <row r="133" spans="1:21" x14ac:dyDescent="0.2">
      <c r="A133" s="143"/>
      <c r="B133" s="143"/>
      <c r="C133" s="162" t="s">
        <v>579</v>
      </c>
      <c r="D133" s="162"/>
      <c r="E133" s="488" t="s">
        <v>331</v>
      </c>
      <c r="F133" s="488"/>
      <c r="G133" s="143"/>
      <c r="H133" s="495"/>
      <c r="I133" s="496"/>
      <c r="J133" s="495"/>
      <c r="K133" s="496"/>
      <c r="L133" s="495"/>
      <c r="M133" s="496"/>
      <c r="N133" s="495"/>
      <c r="O133" s="496"/>
      <c r="P133" s="495"/>
      <c r="Q133" s="497"/>
      <c r="R133" s="496"/>
      <c r="S133" s="495"/>
      <c r="T133" s="497"/>
      <c r="U133" s="143"/>
    </row>
    <row r="134" spans="1:21" x14ac:dyDescent="0.2">
      <c r="A134" s="143"/>
      <c r="B134" s="143"/>
      <c r="C134" s="162" t="s">
        <v>580</v>
      </c>
      <c r="D134" s="162"/>
      <c r="E134" s="488" t="s">
        <v>331</v>
      </c>
      <c r="F134" s="488"/>
      <c r="G134" s="143"/>
      <c r="H134" s="495"/>
      <c r="I134" s="496"/>
      <c r="J134" s="495"/>
      <c r="K134" s="496"/>
      <c r="L134" s="495"/>
      <c r="M134" s="496"/>
      <c r="N134" s="495"/>
      <c r="O134" s="496"/>
      <c r="P134" s="495"/>
      <c r="Q134" s="497"/>
      <c r="R134" s="496"/>
      <c r="S134" s="495"/>
      <c r="T134" s="497"/>
      <c r="U134" s="143"/>
    </row>
    <row r="135" spans="1:21" x14ac:dyDescent="0.2">
      <c r="A135" s="143"/>
      <c r="B135" s="143"/>
      <c r="C135" s="162" t="s">
        <v>581</v>
      </c>
      <c r="D135" s="162"/>
      <c r="E135" s="488" t="s">
        <v>331</v>
      </c>
      <c r="F135" s="488"/>
      <c r="G135" s="143"/>
      <c r="H135" s="495"/>
      <c r="I135" s="496"/>
      <c r="J135" s="495"/>
      <c r="K135" s="496"/>
      <c r="L135" s="495"/>
      <c r="M135" s="496"/>
      <c r="N135" s="495"/>
      <c r="O135" s="496"/>
      <c r="P135" s="495"/>
      <c r="Q135" s="497"/>
      <c r="R135" s="496"/>
      <c r="S135" s="495"/>
      <c r="T135" s="497"/>
      <c r="U135" s="143"/>
    </row>
    <row r="136" spans="1:21" ht="12.75" customHeight="1" x14ac:dyDescent="0.2">
      <c r="A136" s="143"/>
      <c r="B136" s="143"/>
      <c r="C136" s="162" t="s">
        <v>402</v>
      </c>
      <c r="D136" s="162"/>
      <c r="E136" s="163" t="s">
        <v>331</v>
      </c>
      <c r="F136" s="163"/>
      <c r="G136" s="209"/>
      <c r="H136" s="658" cm="1">
        <f t="array" ref="H136">C_T_COWL_FWD S_mini_idle</f>
        <v>0</v>
      </c>
      <c r="I136" s="659"/>
      <c r="J136" s="658" cm="1">
        <f t="array" ref="J136">C_T_COWL_FWD S_approach_idle</f>
        <v>0</v>
      </c>
      <c r="K136" s="659"/>
      <c r="L136" s="658" cm="1">
        <f t="array" ref="L136">C_T_COWL_FWD S_maxi_continu1</f>
        <v>0</v>
      </c>
      <c r="M136" s="659"/>
      <c r="N136" s="658" cm="1">
        <f t="array" ref="N136">C_T_COWL_FWD S_take_off1</f>
        <v>0</v>
      </c>
      <c r="O136" s="659"/>
      <c r="P136" s="658" t="str" cm="1">
        <f t="array" ref="P136">IF('RATINGS QUESTION'!$K$5="YES","N/A", C_T_COWL_FWD S_maxi_continu2)</f>
        <v>N/A</v>
      </c>
      <c r="Q136" s="660"/>
      <c r="R136" s="659"/>
      <c r="S136" s="658" t="str" cm="1">
        <f t="array" ref="S136">IF('RATINGS QUESTION'!$K$5="YES","N/A", C_T_COWL_FWD S_take_off2)</f>
        <v>N/A</v>
      </c>
      <c r="T136" s="660"/>
      <c r="U136" s="143"/>
    </row>
    <row r="137" spans="1:21" ht="12.75" customHeight="1" x14ac:dyDescent="0.2">
      <c r="A137" s="143"/>
      <c r="B137" s="143"/>
      <c r="C137" s="162" t="s">
        <v>403</v>
      </c>
      <c r="D137" s="162"/>
      <c r="E137" s="163" t="s">
        <v>331</v>
      </c>
      <c r="F137" s="163"/>
      <c r="G137" s="160"/>
      <c r="H137" s="658" cm="1">
        <f t="array" ref="H137">C_T_COWL_AFT S_mini_idle</f>
        <v>0</v>
      </c>
      <c r="I137" s="659"/>
      <c r="J137" s="658" cm="1">
        <f t="array" ref="J137">C_T_COWL_AFT S_approach_idle</f>
        <v>0</v>
      </c>
      <c r="K137" s="659"/>
      <c r="L137" s="658" cm="1">
        <f t="array" ref="L137">C_T_COWL_AFT S_maxi_continu1</f>
        <v>0</v>
      </c>
      <c r="M137" s="659"/>
      <c r="N137" s="658" cm="1">
        <f t="array" ref="N137">C_T_COWL_AFT S_take_off1</f>
        <v>0</v>
      </c>
      <c r="O137" s="659"/>
      <c r="P137" s="658" t="str" cm="1">
        <f t="array" ref="P137">IF('RATINGS QUESTION'!$K$5="YES","N/A", C_T_COWL_AFT S_maxi_continu2)</f>
        <v>N/A</v>
      </c>
      <c r="Q137" s="660"/>
      <c r="R137" s="659"/>
      <c r="S137" s="658" t="str" cm="1">
        <f t="array" ref="S137">IF('RATINGS QUESTION'!$K$5="YES","N/A", C_T_COWL_AFT S_take_off2)</f>
        <v>N/A</v>
      </c>
      <c r="T137" s="660"/>
      <c r="U137" s="143"/>
    </row>
    <row r="138" spans="1:21" x14ac:dyDescent="0.2">
      <c r="A138" s="143"/>
      <c r="B138" s="143"/>
      <c r="C138" s="162" t="s">
        <v>122</v>
      </c>
      <c r="D138" s="162"/>
      <c r="E138" s="223" t="s">
        <v>331</v>
      </c>
      <c r="F138" s="223"/>
      <c r="G138" s="143"/>
      <c r="H138" s="658" t="e" cm="1">
        <f t="array" ref="H138">IF(C_T54 S_mini_idle&lt;C_T5_SEL_A S_mini_idle,"N/A",C_T54 S_mini_idle)</f>
        <v>#REF!</v>
      </c>
      <c r="I138" s="659"/>
      <c r="J138" s="658" t="e" cm="1">
        <f t="array" ref="J138">IF(C_T54 S_approach_idle&lt;C_T5_SEL_A S_approach_idle,"N/A",C_T54 S_approach_idle)</f>
        <v>#REF!</v>
      </c>
      <c r="K138" s="659"/>
      <c r="L138" s="658" t="e" cm="1">
        <f t="array" ref="L138">IF(C_T54 S_maxi_continu1&lt;C_T5_SEL_A S_maxi_continu1,"N/A",C_T54 S_maxi_continu1)</f>
        <v>#REF!</v>
      </c>
      <c r="M138" s="659"/>
      <c r="N138" s="658" t="e" cm="1">
        <f t="array" ref="N138">IF(C_T54 S_take_off1&lt;C_T5_SEL_A S_take_off1,"N/A",C_T54 S_take_off1)</f>
        <v>#REF!</v>
      </c>
      <c r="O138" s="659"/>
      <c r="P138" s="658" t="str" cm="1">
        <f t="array" ref="P138">IF('RATINGS QUESTION'!$K$5="YES","N/A",IF(C_T54 S_maxi_continu2&lt;C_T5_SEL_A S_maxi_continu2,"N/A",C_T54 S_maxi_continu2))</f>
        <v>N/A</v>
      </c>
      <c r="Q138" s="660"/>
      <c r="R138" s="659"/>
      <c r="S138" s="658" t="str" cm="1">
        <f t="array" ref="S138">IF('RATINGS QUESTION'!$K$5="YES","N/A",IF(C_T54 S_take_off2&lt;C_T5_SEL_A S_take_off2,"N/A",C_T54 S_take_off2))</f>
        <v>N/A</v>
      </c>
      <c r="T138" s="660"/>
      <c r="U138" s="143"/>
    </row>
    <row r="139" spans="1:21" x14ac:dyDescent="0.2">
      <c r="A139" s="143"/>
      <c r="B139" s="143"/>
      <c r="C139" s="162" t="s">
        <v>547</v>
      </c>
      <c r="D139" s="162"/>
      <c r="E139" s="163" t="s">
        <v>331</v>
      </c>
      <c r="F139" s="163"/>
      <c r="G139" s="143"/>
      <c r="H139" s="658" cm="1">
        <f t="array" ref="H139">C_MOT S_mini_idle</f>
        <v>0</v>
      </c>
      <c r="I139" s="659"/>
      <c r="J139" s="658" cm="1">
        <f t="array" ref="J139">C_MOT S_approach_idle</f>
        <v>0</v>
      </c>
      <c r="K139" s="659"/>
      <c r="L139" s="658" cm="1">
        <f t="array" ref="L139">C_MOT S_maxi_continu1</f>
        <v>0</v>
      </c>
      <c r="M139" s="659"/>
      <c r="N139" s="658" cm="1">
        <f t="array" ref="N139">C_MOT S_take_off1</f>
        <v>0</v>
      </c>
      <c r="O139" s="659"/>
      <c r="P139" s="658" t="str" cm="1">
        <f t="array" ref="P139">IF('RATINGS QUESTION'!$K$5="YES","N/A", C_MOT S_maxi_continu2)</f>
        <v>N/A</v>
      </c>
      <c r="Q139" s="660"/>
      <c r="R139" s="659"/>
      <c r="S139" s="658" t="str" cm="1">
        <f t="array" ref="S139">IF('RATINGS QUESTION'!$K$5="YES","N/A", C_MOT S_take_off2)</f>
        <v>N/A</v>
      </c>
      <c r="T139" s="660"/>
      <c r="U139" s="143"/>
    </row>
    <row r="140" spans="1:21" x14ac:dyDescent="0.2">
      <c r="A140" s="143"/>
      <c r="B140" s="143"/>
      <c r="C140" s="162" t="s">
        <v>582</v>
      </c>
      <c r="D140" s="162"/>
      <c r="E140" s="223" t="s">
        <v>331</v>
      </c>
      <c r="F140" s="223"/>
      <c r="G140" s="143"/>
      <c r="H140" s="658" cm="1">
        <f t="array" ref="H140">C_T_Soil S_mini_idle</f>
        <v>0</v>
      </c>
      <c r="I140" s="659"/>
      <c r="J140" s="658" cm="1">
        <f t="array" ref="J140">C_T_Soil S_approach_idle</f>
        <v>0</v>
      </c>
      <c r="K140" s="659"/>
      <c r="L140" s="658" cm="1">
        <f t="array" ref="L140">C_T_Soil S_maxi_continu1</f>
        <v>0</v>
      </c>
      <c r="M140" s="659"/>
      <c r="N140" s="658" cm="1">
        <f t="array" ref="N140">C_T_Soil S_take_off1</f>
        <v>0</v>
      </c>
      <c r="O140" s="659"/>
      <c r="P140" s="658" t="str" cm="1">
        <f t="array" ref="P140">IF('RATINGS QUESTION'!$K$5="YES","N/A", C_T_Soil S_maxi_continu2)</f>
        <v>N/A</v>
      </c>
      <c r="Q140" s="660"/>
      <c r="R140" s="659"/>
      <c r="S140" s="658" t="str" cm="1">
        <f t="array" ref="S140">IF('RATINGS QUESTION'!$K$5="YES","N/A", C_T_Soil S_take_off2)</f>
        <v>N/A</v>
      </c>
      <c r="T140" s="660"/>
      <c r="U140" s="143"/>
    </row>
    <row r="141" spans="1:21" ht="12.75" customHeight="1" thickBot="1" x14ac:dyDescent="0.25">
      <c r="A141" s="143"/>
      <c r="B141" s="143"/>
      <c r="C141" s="143"/>
      <c r="D141" s="143"/>
      <c r="E141" s="143"/>
      <c r="F141" s="143"/>
      <c r="G141" s="143"/>
      <c r="H141" s="276"/>
      <c r="I141" s="80"/>
      <c r="J141" s="276"/>
      <c r="K141" s="169"/>
      <c r="L141" s="278"/>
      <c r="M141" s="169"/>
      <c r="N141" s="276"/>
      <c r="O141" s="169"/>
      <c r="P141" s="276"/>
      <c r="Q141" s="80"/>
      <c r="R141" s="169"/>
      <c r="S141" s="276"/>
      <c r="T141" s="80"/>
      <c r="U141" s="80"/>
    </row>
    <row r="142" spans="1:21" s="219" customFormat="1" ht="16.5" customHeight="1" thickBot="1" x14ac:dyDescent="0.25">
      <c r="A142" s="218"/>
      <c r="B142" s="649" t="s">
        <v>536</v>
      </c>
      <c r="C142" s="650"/>
      <c r="D142" s="650"/>
      <c r="E142" s="650"/>
      <c r="F142" s="650"/>
      <c r="G142" s="661"/>
      <c r="H142" s="279"/>
      <c r="I142" s="279"/>
      <c r="J142" s="280"/>
      <c r="K142" s="281"/>
      <c r="L142" s="282"/>
      <c r="M142" s="283"/>
      <c r="N142" s="282"/>
      <c r="O142" s="283"/>
      <c r="P142" s="282"/>
      <c r="Q142" s="269"/>
      <c r="R142" s="283"/>
      <c r="S142" s="282"/>
      <c r="T142" s="269"/>
      <c r="U142" s="188"/>
    </row>
    <row r="143" spans="1:21" ht="12.75" customHeight="1" x14ac:dyDescent="0.2">
      <c r="A143" s="143"/>
      <c r="B143" s="143"/>
      <c r="C143" s="143"/>
      <c r="D143" s="143"/>
      <c r="E143" s="143"/>
      <c r="F143" s="143"/>
      <c r="G143" s="143"/>
      <c r="H143" s="284"/>
      <c r="I143" s="285"/>
      <c r="J143" s="284"/>
      <c r="K143" s="286"/>
      <c r="L143" s="287"/>
      <c r="M143" s="288"/>
      <c r="N143" s="287"/>
      <c r="O143" s="288"/>
      <c r="P143" s="287"/>
      <c r="Q143" s="149"/>
      <c r="R143" s="288"/>
      <c r="S143" s="287"/>
      <c r="T143" s="149"/>
      <c r="U143" s="149"/>
    </row>
    <row r="144" spans="1:21" ht="12.75" customHeight="1" x14ac:dyDescent="0.2">
      <c r="A144" s="143"/>
      <c r="B144" s="143"/>
      <c r="C144" s="162" t="s">
        <v>583</v>
      </c>
      <c r="D144" s="162"/>
      <c r="E144" s="163" t="s">
        <v>367</v>
      </c>
      <c r="F144" s="163"/>
      <c r="G144" s="220"/>
      <c r="H144" s="633" cm="1">
        <f t="array" ref="H144">C_PAMB1 S_mini_idle</f>
        <v>0</v>
      </c>
      <c r="I144" s="635"/>
      <c r="J144" s="633" cm="1">
        <f t="array" ref="J144">C_PAMB1 S_approach_idle</f>
        <v>0</v>
      </c>
      <c r="K144" s="635"/>
      <c r="L144" s="633" cm="1">
        <f t="array" ref="L144">C_PAMB1 S_maxi_continu1</f>
        <v>0</v>
      </c>
      <c r="M144" s="635"/>
      <c r="N144" s="633" cm="1">
        <f t="array" ref="N144">C_PAMB1 S_take_off1</f>
        <v>0</v>
      </c>
      <c r="O144" s="635"/>
      <c r="P144" s="633" t="str" cm="1">
        <f t="array" ref="P144">IF('RATINGS QUESTION'!$K$5="YES","N/A", C_PAMB1 S_maxi_continu2)</f>
        <v>N/A</v>
      </c>
      <c r="Q144" s="634"/>
      <c r="R144" s="635"/>
      <c r="S144" s="633" t="str" cm="1">
        <f t="array" ref="S144">IF('RATINGS QUESTION'!$K$5="YES","N/A", C_PAMB1 S_take_off2)</f>
        <v>N/A</v>
      </c>
      <c r="T144" s="634"/>
      <c r="U144" s="149"/>
    </row>
    <row r="145" spans="1:21" ht="12.75" customHeight="1" x14ac:dyDescent="0.2">
      <c r="A145" s="143"/>
      <c r="B145" s="143"/>
      <c r="C145" s="162" t="s">
        <v>584</v>
      </c>
      <c r="D145" s="162"/>
      <c r="E145" s="163" t="s">
        <v>367</v>
      </c>
      <c r="F145" s="163"/>
      <c r="G145" s="160"/>
      <c r="H145" s="633" cm="1">
        <f t="array" ref="H145">C_PAMB2 S_mini_idle</f>
        <v>0</v>
      </c>
      <c r="I145" s="635"/>
      <c r="J145" s="633" cm="1">
        <f t="array" ref="J145">C_PAMB2 S_approach_idle</f>
        <v>0</v>
      </c>
      <c r="K145" s="635"/>
      <c r="L145" s="633" cm="1">
        <f t="array" ref="L145">C_PAMB2 S_maxi_continu1</f>
        <v>0</v>
      </c>
      <c r="M145" s="635"/>
      <c r="N145" s="633" cm="1">
        <f t="array" ref="N145">C_PAMB2 S_take_off1</f>
        <v>0</v>
      </c>
      <c r="O145" s="635"/>
      <c r="P145" s="633" t="str" cm="1">
        <f t="array" ref="P145">IF('RATINGS QUESTION'!$K$5="YES","N/A", C_PAMB2 S_maxi_continu2)</f>
        <v>N/A</v>
      </c>
      <c r="Q145" s="634"/>
      <c r="R145" s="635"/>
      <c r="S145" s="633" t="str" cm="1">
        <f t="array" ref="S145">IF('RATINGS QUESTION'!$K$5="YES","N/A", C_PAMB2 S_take_off2)</f>
        <v>N/A</v>
      </c>
      <c r="T145" s="634"/>
      <c r="U145" s="149"/>
    </row>
    <row r="146" spans="1:21" ht="12.75" customHeight="1" x14ac:dyDescent="0.2">
      <c r="A146" s="143"/>
      <c r="B146" s="143"/>
      <c r="C146" s="162" t="s">
        <v>39</v>
      </c>
      <c r="D146" s="162"/>
      <c r="E146" s="163" t="s">
        <v>367</v>
      </c>
      <c r="F146" s="163"/>
      <c r="G146" s="143"/>
      <c r="H146" s="633" cm="1">
        <f t="array" ref="H146">C_P_Cell_Front S_mini_idle</f>
        <v>0</v>
      </c>
      <c r="I146" s="635"/>
      <c r="J146" s="633" cm="1">
        <f t="array" ref="J146">C_P_Cell_Front S_approach_idle</f>
        <v>0</v>
      </c>
      <c r="K146" s="635"/>
      <c r="L146" s="633" cm="1">
        <f t="array" ref="L146">C_P_Cell_Front S_maxi_continu1</f>
        <v>0</v>
      </c>
      <c r="M146" s="635"/>
      <c r="N146" s="633" cm="1">
        <f t="array" ref="N146">C_P_Cell_Front S_take_off1</f>
        <v>0</v>
      </c>
      <c r="O146" s="635"/>
      <c r="P146" s="633" t="str" cm="1">
        <f t="array" ref="P146">IF('RATINGS QUESTION'!$K$5="YES","N/A", C_P_Cell_Front S_maxi_continu2)</f>
        <v>N/A</v>
      </c>
      <c r="Q146" s="634"/>
      <c r="R146" s="635"/>
      <c r="S146" s="633" t="str" cm="1">
        <f t="array" ref="S146">IF('RATINGS QUESTION'!$K$5="YES","N/A", C_P_Cell_Front S_take_off2)</f>
        <v>N/A</v>
      </c>
      <c r="T146" s="634"/>
      <c r="U146" s="149"/>
    </row>
    <row r="147" spans="1:21" ht="12.75" customHeight="1" x14ac:dyDescent="0.2">
      <c r="A147" s="143"/>
      <c r="B147" s="143"/>
      <c r="C147" s="162" t="s">
        <v>41</v>
      </c>
      <c r="D147" s="162"/>
      <c r="E147" s="163" t="s">
        <v>367</v>
      </c>
      <c r="F147" s="163"/>
      <c r="G147" s="143"/>
      <c r="H147" s="633" cm="1">
        <f t="array" ref="H147">C_P_Cell_Rear S_mini_idle</f>
        <v>0</v>
      </c>
      <c r="I147" s="635"/>
      <c r="J147" s="633" cm="1">
        <f t="array" ref="J147">C_P_Cell_Rear S_approach_idle</f>
        <v>0</v>
      </c>
      <c r="K147" s="635"/>
      <c r="L147" s="633" cm="1">
        <f t="array" ref="L147">C_P_Cell_Rear S_maxi_continu1</f>
        <v>0</v>
      </c>
      <c r="M147" s="635"/>
      <c r="N147" s="633" cm="1">
        <f t="array" ref="N147">C_P_Cell_Rear S_take_off1</f>
        <v>0</v>
      </c>
      <c r="O147" s="635"/>
      <c r="P147" s="633" t="str" cm="1">
        <f t="array" ref="P147">IF('RATINGS QUESTION'!$K$5="YES","N/A", C_P_Cell_Rear S_maxi_continu2)</f>
        <v>N/A</v>
      </c>
      <c r="Q147" s="634"/>
      <c r="R147" s="635"/>
      <c r="S147" s="633" t="str" cm="1">
        <f t="array" ref="S147">IF('RATINGS QUESTION'!$K$5="YES","N/A", C_P_Cell_Rear S_take_off2)</f>
        <v>N/A</v>
      </c>
      <c r="T147" s="634"/>
      <c r="U147" s="149"/>
    </row>
    <row r="148" spans="1:21" ht="12.75" customHeight="1" x14ac:dyDescent="0.2">
      <c r="A148" s="143"/>
      <c r="B148" s="143"/>
      <c r="C148" s="162" t="s">
        <v>585</v>
      </c>
      <c r="D148" s="162"/>
      <c r="E148" s="163" t="s">
        <v>367</v>
      </c>
      <c r="F148" s="163"/>
      <c r="G148" s="143"/>
      <c r="H148" s="633" cm="1">
        <f t="array" ref="H148">C_PS2W1 S_mini_idle</f>
        <v>0</v>
      </c>
      <c r="I148" s="635"/>
      <c r="J148" s="633" cm="1">
        <f t="array" ref="J148">C_PS2W1 S_approach_idle</f>
        <v>0</v>
      </c>
      <c r="K148" s="635"/>
      <c r="L148" s="633" cm="1">
        <f t="array" ref="L148">C_PS2W1 S_maxi_continu1</f>
        <v>0</v>
      </c>
      <c r="M148" s="635"/>
      <c r="N148" s="633" cm="1">
        <f t="array" ref="N148">C_PS2W1 S_take_off1</f>
        <v>0</v>
      </c>
      <c r="O148" s="635"/>
      <c r="P148" s="633" t="str" cm="1">
        <f t="array" ref="P148">IF('RATINGS QUESTION'!$K$5="YES","N/A", C_PS2W1 S_maxi_continu2)</f>
        <v>N/A</v>
      </c>
      <c r="Q148" s="634"/>
      <c r="R148" s="635"/>
      <c r="S148" s="633" t="str" cm="1">
        <f t="array" ref="S148">IF('RATINGS QUESTION'!$K$5="YES","N/A", C_PS2W1 S_take_off2)</f>
        <v>N/A</v>
      </c>
      <c r="T148" s="634"/>
      <c r="U148" s="149"/>
    </row>
    <row r="149" spans="1:21" ht="12.75" customHeight="1" x14ac:dyDescent="0.2">
      <c r="A149" s="143"/>
      <c r="B149" s="143"/>
      <c r="C149" s="162" t="s">
        <v>586</v>
      </c>
      <c r="D149" s="162"/>
      <c r="E149" s="163" t="s">
        <v>367</v>
      </c>
      <c r="F149" s="163"/>
      <c r="G149" s="143"/>
      <c r="H149" s="633" cm="1">
        <f t="array" ref="H149">C_PS2W2 S_mini_idle</f>
        <v>0</v>
      </c>
      <c r="I149" s="635"/>
      <c r="J149" s="633" cm="1">
        <f t="array" ref="J149">C_PS2W2 S_approach_idle</f>
        <v>0</v>
      </c>
      <c r="K149" s="635"/>
      <c r="L149" s="633" cm="1">
        <f t="array" ref="L149">C_PS2W2 S_maxi_continu1</f>
        <v>0</v>
      </c>
      <c r="M149" s="635"/>
      <c r="N149" s="633" cm="1">
        <f t="array" ref="N149">C_PS2W2 S_take_off1</f>
        <v>0</v>
      </c>
      <c r="O149" s="635"/>
      <c r="P149" s="633" t="str" cm="1">
        <f t="array" ref="P149">IF('RATINGS QUESTION'!$K$5="YES","N/A", C_PS2W2 S_maxi_continu2)</f>
        <v>N/A</v>
      </c>
      <c r="Q149" s="634"/>
      <c r="R149" s="635"/>
      <c r="S149" s="633" t="str" cm="1">
        <f t="array" ref="S149">IF('RATINGS QUESTION'!$K$5="YES","N/A", C_PS2W2 S_take_off2)</f>
        <v>N/A</v>
      </c>
      <c r="T149" s="634"/>
      <c r="U149" s="143"/>
    </row>
    <row r="150" spans="1:21" ht="12.75" customHeight="1" x14ac:dyDescent="0.2">
      <c r="A150" s="143"/>
      <c r="B150" s="143"/>
      <c r="C150" s="162" t="s">
        <v>48</v>
      </c>
      <c r="D150" s="162"/>
      <c r="E150" s="163" t="s">
        <v>367</v>
      </c>
      <c r="F150" s="163"/>
      <c r="G150" s="143"/>
      <c r="H150" s="633" cm="1">
        <f t="array" ref="H150">IF(C_PS13_ECU S_mini_idle&gt;C_PS13 S_mini_idle,"N/A",C_PS13 S_mini_idle)</f>
        <v>0</v>
      </c>
      <c r="I150" s="635"/>
      <c r="J150" s="633" cm="1">
        <f t="array" ref="J150">IF(C_PS13_ECU S_approach_idle&gt;C_PS13 S_approach_idle,"N/A",C_PS13 S_approach_idle)</f>
        <v>0</v>
      </c>
      <c r="K150" s="635"/>
      <c r="L150" s="633" cm="1">
        <f t="array" ref="L150">IF(C_PS13_ECU S_maxi_continu1&gt;C_PS13 S_maxi_continu1,"N/A",C_PS13 S_maxi_continu1)</f>
        <v>0</v>
      </c>
      <c r="M150" s="635"/>
      <c r="N150" s="633" cm="1">
        <f t="array" ref="N150">IF(C_PS13_ECU S_take_off1&gt;C_PS13 S_take_off1,"N/A",C_PS13 S_take_off1)</f>
        <v>0</v>
      </c>
      <c r="O150" s="635"/>
      <c r="P150" s="633" t="str" cm="1">
        <f t="array" ref="P150">IF('RATINGS QUESTION'!$K$5="YES","N/A",IF(C_PS13_ECU S_maxi_continu2&gt;C_PS13 S_maxi_continu2,"N/A",C_PS13 S_maxi_continu2))</f>
        <v>N/A</v>
      </c>
      <c r="Q150" s="634"/>
      <c r="R150" s="635"/>
      <c r="S150" s="633" t="str" cm="1">
        <f t="array" ref="S150">IF('RATINGS QUESTION'!$K$5="YES","N/A",IF(C_PS13_ECU S_take_off2&gt;C_PS13 S_take_off2,"N/A",C_PS13 S_take_off2))</f>
        <v>N/A</v>
      </c>
      <c r="T150" s="634"/>
      <c r="U150" s="149"/>
    </row>
    <row r="151" spans="1:21" ht="12.75" customHeight="1" x14ac:dyDescent="0.2">
      <c r="A151" s="143"/>
      <c r="B151" s="143"/>
      <c r="C151" s="162" t="s">
        <v>415</v>
      </c>
      <c r="D151" s="162"/>
      <c r="E151" s="163" t="s">
        <v>367</v>
      </c>
      <c r="F151" s="163"/>
      <c r="G151" s="143"/>
      <c r="H151" s="633" t="str" cm="1">
        <f t="array" ref="H151">IF(C_PS13_ECU S_mini_idle&gt;C_PS13 S_mini_idle,C_PS13_ECU S_mini_idle,"N/A")</f>
        <v>N/A</v>
      </c>
      <c r="I151" s="635"/>
      <c r="J151" s="633" t="str" cm="1">
        <f t="array" ref="J151">IF(C_PS13_ECU S_approach_idle&gt;C_PS13 S_approach_idle,C_PS13_ECU S_approach_idle,"N/A")</f>
        <v>N/A</v>
      </c>
      <c r="K151" s="635"/>
      <c r="L151" s="633" t="str" cm="1">
        <f t="array" ref="L151">IF(C_PS13_ECU S_maxi_continu1&gt;C_PS13 S_maxi_continu1,C_PS13_ECU S_maxi_continu1,"N/A")</f>
        <v>N/A</v>
      </c>
      <c r="M151" s="635"/>
      <c r="N151" s="633" t="str" cm="1">
        <f t="array" ref="N151">IF(C_PS13_ECU S_take_off1&gt;C_PS13 S_take_off1,C_PS13_ECU S_take_off1,"N/A")</f>
        <v>N/A</v>
      </c>
      <c r="O151" s="635"/>
      <c r="P151" s="633" t="str" cm="1">
        <f t="array" ref="P151">IF('RATINGS QUESTION'!$K$5="YES","N/A",IF(C_PS13_ECU S_maxi_continu2&gt;C_PS13 S_maxi_continu2,C_PS13_ECU S_maxi_continu2,"N/A"))</f>
        <v>N/A</v>
      </c>
      <c r="Q151" s="634"/>
      <c r="R151" s="635"/>
      <c r="S151" s="633" t="str" cm="1">
        <f t="array" ref="S151">IF('RATINGS QUESTION'!$K$5="YES","N/A",IF(C_PS13_ECU S_take_off2&gt;C_PS13 S_take_off2,C_PS13_ECU S_take_off2,"N/A"))</f>
        <v>N/A</v>
      </c>
      <c r="T151" s="634"/>
      <c r="U151" s="149"/>
    </row>
    <row r="152" spans="1:21" ht="12.75" customHeight="1" x14ac:dyDescent="0.2">
      <c r="A152" s="143"/>
      <c r="B152" s="143"/>
      <c r="C152" s="162" t="s">
        <v>56</v>
      </c>
      <c r="D152" s="162"/>
      <c r="E152" s="300" t="s">
        <v>367</v>
      </c>
      <c r="F152" s="300"/>
      <c r="G152" s="209"/>
      <c r="H152" s="633" cm="1">
        <f t="array" ref="H152">C_PT17 S_mini_idle</f>
        <v>0</v>
      </c>
      <c r="I152" s="635"/>
      <c r="J152" s="633" cm="1">
        <f t="array" ref="J152">C_PT17 S_approach_idle</f>
        <v>0</v>
      </c>
      <c r="K152" s="635"/>
      <c r="L152" s="633" cm="1">
        <f t="array" ref="L152">C_PT17 S_maxi_continu1</f>
        <v>0</v>
      </c>
      <c r="M152" s="635"/>
      <c r="N152" s="633" cm="1">
        <f t="array" ref="N152">C_PT17 S_take_off1</f>
        <v>0</v>
      </c>
      <c r="O152" s="635"/>
      <c r="P152" s="633" t="str" cm="1">
        <f t="array" ref="P152">IF('RATINGS QUESTION'!$K$5="YES","N/A", C_PT17 S_maxi_continu2)</f>
        <v>N/A</v>
      </c>
      <c r="Q152" s="634"/>
      <c r="R152" s="635"/>
      <c r="S152" s="633" t="str" cm="1">
        <f t="array" ref="S152">IF('RATINGS QUESTION'!$K$5="YES","N/A", C_PT17 S_take_off2)</f>
        <v>N/A</v>
      </c>
      <c r="T152" s="634"/>
      <c r="U152" s="149"/>
    </row>
    <row r="153" spans="1:21" ht="12.75" customHeight="1" x14ac:dyDescent="0.2">
      <c r="A153" s="143"/>
      <c r="B153" s="143"/>
      <c r="C153" s="162" t="s">
        <v>587</v>
      </c>
      <c r="D153" s="162"/>
      <c r="E153" s="308" t="s">
        <v>367</v>
      </c>
      <c r="F153" s="308"/>
      <c r="G153" s="209"/>
      <c r="H153" s="633" cm="1">
        <f t="array" ref="H153">C_PT17_1 S_mini_idle</f>
        <v>0</v>
      </c>
      <c r="I153" s="635"/>
      <c r="J153" s="633" cm="1">
        <f t="array" ref="J153">C_PT17_1 S_approach_idle</f>
        <v>0</v>
      </c>
      <c r="K153" s="635"/>
      <c r="L153" s="633" cm="1">
        <f t="array" ref="L153">C_PT17_1 S_maxi_continu1</f>
        <v>0</v>
      </c>
      <c r="M153" s="635"/>
      <c r="N153" s="633" cm="1">
        <f t="array" ref="N153">C_PT17_1 S_take_off1</f>
        <v>0</v>
      </c>
      <c r="O153" s="635"/>
      <c r="P153" s="633" t="str" cm="1">
        <f t="array" ref="P153">IF('RATINGS QUESTION'!$K$5="YES","N/A", C_PT17_1 S_maxi_continu2)</f>
        <v>N/A</v>
      </c>
      <c r="Q153" s="634"/>
      <c r="R153" s="635"/>
      <c r="S153" s="633" t="str" cm="1">
        <f t="array" ref="S153">IF('RATINGS QUESTION'!$K$5="YES","N/A", C_PT17_1 S_take_off2)</f>
        <v>N/A</v>
      </c>
      <c r="T153" s="634"/>
      <c r="U153" s="149"/>
    </row>
    <row r="154" spans="1:21" ht="12.75" customHeight="1" x14ac:dyDescent="0.2">
      <c r="A154" s="143"/>
      <c r="B154" s="143"/>
      <c r="C154" s="162" t="s">
        <v>588</v>
      </c>
      <c r="D154" s="162"/>
      <c r="E154" s="308" t="s">
        <v>367</v>
      </c>
      <c r="F154" s="308"/>
      <c r="G154" s="209"/>
      <c r="H154" s="633" cm="1">
        <f t="array" ref="H154">C_PT17_2 S_mini_idle</f>
        <v>0</v>
      </c>
      <c r="I154" s="635"/>
      <c r="J154" s="633" cm="1">
        <f t="array" ref="J154">C_PT17_2 S_approach_idle</f>
        <v>0</v>
      </c>
      <c r="K154" s="635"/>
      <c r="L154" s="633" cm="1">
        <f t="array" ref="L154">C_PT17_2 S_maxi_continu1</f>
        <v>0</v>
      </c>
      <c r="M154" s="635"/>
      <c r="N154" s="633" cm="1">
        <f t="array" ref="N154">C_PT17_2 S_take_off1</f>
        <v>0</v>
      </c>
      <c r="O154" s="635"/>
      <c r="P154" s="633" t="str" cm="1">
        <f t="array" ref="P154">IF('RATINGS QUESTION'!$K$5="YES","N/A", C_PT17_2 S_maxi_continu2)</f>
        <v>N/A</v>
      </c>
      <c r="Q154" s="634"/>
      <c r="R154" s="635"/>
      <c r="S154" s="633" t="str" cm="1">
        <f t="array" ref="S154">IF('RATINGS QUESTION'!$K$5="YES","N/A", C_PT17_2 S_take_off2)</f>
        <v>N/A</v>
      </c>
      <c r="T154" s="634"/>
      <c r="U154" s="149"/>
    </row>
    <row r="155" spans="1:21" ht="12.75" customHeight="1" x14ac:dyDescent="0.2">
      <c r="A155" s="143"/>
      <c r="B155" s="143"/>
      <c r="C155" s="162" t="s">
        <v>589</v>
      </c>
      <c r="D155" s="162"/>
      <c r="E155" s="163" t="s">
        <v>367</v>
      </c>
      <c r="F155" s="163"/>
      <c r="G155" s="209"/>
      <c r="H155" s="633" t="s">
        <v>1</v>
      </c>
      <c r="I155" s="635"/>
      <c r="J155" s="633" t="s">
        <v>1</v>
      </c>
      <c r="K155" s="635"/>
      <c r="L155" s="633" t="e" cm="1">
        <f t="array" ref="L155">C_PT2_CAL S_maxi_continu1</f>
        <v>#REF!</v>
      </c>
      <c r="M155" s="635"/>
      <c r="N155" s="633" t="e" cm="1">
        <f t="array" ref="N155">C_PT2_CAL S_take_off1</f>
        <v>#REF!</v>
      </c>
      <c r="O155" s="635"/>
      <c r="P155" s="633" t="str" cm="1">
        <f t="array" ref="P155">IF('RATINGS QUESTION'!$K$5="YES","N/A", C_PT2_CAL S_maxi_continu2)</f>
        <v>N/A</v>
      </c>
      <c r="Q155" s="634"/>
      <c r="R155" s="635"/>
      <c r="S155" s="633" t="str" cm="1">
        <f t="array" ref="S155">IF('RATINGS QUESTION'!$K$5="YES","N/A", C_PT2_CAL S_take_off2)</f>
        <v>N/A</v>
      </c>
      <c r="T155" s="634"/>
      <c r="U155" s="149"/>
    </row>
    <row r="156" spans="1:21" ht="12.75" customHeight="1" x14ac:dyDescent="0.2">
      <c r="A156" s="143"/>
      <c r="B156" s="143"/>
      <c r="C156" s="162" t="s">
        <v>416</v>
      </c>
      <c r="D156" s="162"/>
      <c r="E156" s="163" t="s">
        <v>367</v>
      </c>
      <c r="F156" s="163"/>
      <c r="G156" s="209"/>
      <c r="H156" s="633" t="str" cm="1">
        <f t="array" ref="H156">IF(C_P25_ECU S_mini_idle&lt;15,"N/A",C_P25_ECU S_mini_idle)</f>
        <v>N/A</v>
      </c>
      <c r="I156" s="635"/>
      <c r="J156" s="633" t="str" cm="1">
        <f t="array" ref="J156">IF(C_P25_ECU S_approach_idle&lt;15,"N/A",C_P25_ECU S_approach_idle)</f>
        <v>N/A</v>
      </c>
      <c r="K156" s="635"/>
      <c r="L156" s="633" t="str" cm="1">
        <f t="array" ref="L156">IF(C_P25_ECU S_maxi_continu1&lt;15,"N/A",C_P25_ECU S_maxi_continu1)</f>
        <v>N/A</v>
      </c>
      <c r="M156" s="635"/>
      <c r="N156" s="633" t="str" cm="1">
        <f t="array" ref="N156">IF(C_P25_ECU S_take_off1&lt;15,"N/A",C_P25_ECU S_take_off1)</f>
        <v>N/A</v>
      </c>
      <c r="O156" s="635"/>
      <c r="P156" s="633" t="str" cm="1">
        <f t="array" ref="P156">IF('RATINGS QUESTION'!$K$5="YES","N/A",IF(C_P25_ECU S_maxi_continu2&lt;15,"N/A",C_P25_ECU S_maxi_continu2))</f>
        <v>N/A</v>
      </c>
      <c r="Q156" s="634"/>
      <c r="R156" s="635"/>
      <c r="S156" s="633" t="str" cm="1">
        <f t="array" ref="S156">IF('RATINGS QUESTION'!$K$5="YES","N/A",IF(C_P25_ECU S_take_off2&lt;15,"N/A",C_P25_ECU S_take_off2))</f>
        <v>N/A</v>
      </c>
      <c r="T156" s="634"/>
      <c r="U156" s="149"/>
    </row>
    <row r="157" spans="1:21" ht="12.75" customHeight="1" x14ac:dyDescent="0.2">
      <c r="A157" s="143"/>
      <c r="B157" s="143"/>
      <c r="C157" s="162" t="s">
        <v>59</v>
      </c>
      <c r="D157" s="162"/>
      <c r="E157" s="223" t="s">
        <v>367</v>
      </c>
      <c r="F157" s="223"/>
      <c r="G157" s="209"/>
      <c r="H157" s="633" t="e" cm="1">
        <f t="array" ref="H157">C_PT25 S_mini_idle</f>
        <v>#REF!</v>
      </c>
      <c r="I157" s="635"/>
      <c r="J157" s="633" t="e" cm="1">
        <f t="array" ref="J157">C_PT25 S_approach_idle</f>
        <v>#REF!</v>
      </c>
      <c r="K157" s="635"/>
      <c r="L157" s="633" t="e" cm="1">
        <f t="array" ref="L157">C_PT25 S_maxi_continu1</f>
        <v>#REF!</v>
      </c>
      <c r="M157" s="635"/>
      <c r="N157" s="633" t="e" cm="1">
        <f t="array" ref="N157">C_PT25 S_take_off1</f>
        <v>#REF!</v>
      </c>
      <c r="O157" s="635"/>
      <c r="P157" s="633" t="str" cm="1">
        <f t="array" ref="P157">IF('RATINGS QUESTION'!$K$5="YES","N/A", C_PT25 S_maxi_continu2)</f>
        <v>N/A</v>
      </c>
      <c r="Q157" s="634"/>
      <c r="R157" s="635"/>
      <c r="S157" s="633" t="str" cm="1">
        <f t="array" ref="S157">IF('RATINGS QUESTION'!$K$5="YES","N/A", C_PT25 S_take_off2)</f>
        <v>N/A</v>
      </c>
      <c r="T157" s="634"/>
      <c r="U157" s="149"/>
    </row>
    <row r="158" spans="1:21" ht="12.75" customHeight="1" x14ac:dyDescent="0.2">
      <c r="A158" s="143"/>
      <c r="B158" s="143"/>
      <c r="C158" s="162" t="s">
        <v>60</v>
      </c>
      <c r="D158" s="162"/>
      <c r="E158" s="223" t="s">
        <v>367</v>
      </c>
      <c r="F158" s="223"/>
      <c r="G158" s="209"/>
      <c r="H158" s="633" cm="1">
        <f t="array" ref="H158">C_PT495 S_mini_idle</f>
        <v>0</v>
      </c>
      <c r="I158" s="635"/>
      <c r="J158" s="633" cm="1">
        <f t="array" ref="J158">C_PT495 S_approach_idle</f>
        <v>0</v>
      </c>
      <c r="K158" s="635"/>
      <c r="L158" s="633" cm="1">
        <f t="array" ref="L158">C_PT495 S_maxi_continu1</f>
        <v>0</v>
      </c>
      <c r="M158" s="635"/>
      <c r="N158" s="633" cm="1">
        <f t="array" ref="N158">C_PT495 S_take_off1</f>
        <v>0</v>
      </c>
      <c r="O158" s="635"/>
      <c r="P158" s="633" t="str" cm="1">
        <f t="array" ref="P158">IF('RATINGS QUESTION'!$K$5="YES","N/A", C_PT495 S_maxi_continu2)</f>
        <v>N/A</v>
      </c>
      <c r="Q158" s="634"/>
      <c r="R158" s="635"/>
      <c r="S158" s="633" t="str" cm="1">
        <f t="array" ref="S158">IF('RATINGS QUESTION'!$K$5="YES","N/A", C_PT495 S_take_off2)</f>
        <v>N/A</v>
      </c>
      <c r="T158" s="634"/>
      <c r="U158" s="149"/>
    </row>
    <row r="159" spans="1:21" ht="12.75" customHeight="1" x14ac:dyDescent="0.2">
      <c r="A159" s="143"/>
      <c r="B159" s="143"/>
      <c r="C159" s="162" t="s">
        <v>590</v>
      </c>
      <c r="D159" s="162"/>
      <c r="E159" s="223" t="s">
        <v>367</v>
      </c>
      <c r="F159" s="223"/>
      <c r="G159" s="209"/>
      <c r="H159" s="633" cm="1">
        <f t="array" ref="H159">C_PT54 S_mini_idle</f>
        <v>0</v>
      </c>
      <c r="I159" s="635"/>
      <c r="J159" s="633" cm="1">
        <f t="array" ref="J159">C_PT54 S_approach_idle</f>
        <v>0</v>
      </c>
      <c r="K159" s="635"/>
      <c r="L159" s="633" cm="1">
        <f t="array" ref="L159">C_PT54 S_maxi_continu1</f>
        <v>0</v>
      </c>
      <c r="M159" s="635"/>
      <c r="N159" s="633" cm="1">
        <f t="array" ref="N159">C_PT54 S_take_off1</f>
        <v>0</v>
      </c>
      <c r="O159" s="635"/>
      <c r="P159" s="633" t="str" cm="1">
        <f t="array" ref="P159">IF('RATINGS QUESTION'!$K$5="YES","N/A", C_PT54 S_maxi_continu2)</f>
        <v>N/A</v>
      </c>
      <c r="Q159" s="634"/>
      <c r="R159" s="635"/>
      <c r="S159" s="633" t="str" cm="1">
        <f t="array" ref="S159">IF('RATINGS QUESTION'!$K$5="YES","N/A", C_PT54 S_take_off2)</f>
        <v>N/A</v>
      </c>
      <c r="T159" s="634"/>
      <c r="U159" s="149"/>
    </row>
    <row r="160" spans="1:21" ht="12.75" customHeight="1" x14ac:dyDescent="0.2">
      <c r="A160" s="143"/>
      <c r="B160" s="143"/>
      <c r="C160" s="162" t="s">
        <v>591</v>
      </c>
      <c r="D160" s="162"/>
      <c r="E160" s="163" t="s">
        <v>362</v>
      </c>
      <c r="F160" s="163"/>
      <c r="G160" s="143"/>
      <c r="H160" s="633" cm="1">
        <f t="array" ref="H160">C_P_Sump S_mini_idle</f>
        <v>0</v>
      </c>
      <c r="I160" s="635"/>
      <c r="J160" s="633" cm="1">
        <f t="array" ref="J160">C_P_Sump S_approach_idle</f>
        <v>0</v>
      </c>
      <c r="K160" s="635"/>
      <c r="L160" s="633" cm="1">
        <f t="array" ref="L160">C_P_Sump S_maxi_continu1</f>
        <v>0</v>
      </c>
      <c r="M160" s="635"/>
      <c r="N160" s="633" cm="1">
        <f t="array" ref="N160">C_P_Sump S_take_off1</f>
        <v>0</v>
      </c>
      <c r="O160" s="635"/>
      <c r="P160" s="633" t="str" cm="1">
        <f t="array" ref="P160">IF('RATINGS QUESTION'!$K$5="YES","N/A",C_P_Sump S_maxi_continu2)</f>
        <v>N/A</v>
      </c>
      <c r="Q160" s="634"/>
      <c r="R160" s="635"/>
      <c r="S160" s="633" t="str" cm="1">
        <f t="array" ref="S160">IF('RATINGS QUESTION'!$K$5="YES","N/A",C_P_Sump S_take_off2)</f>
        <v>N/A</v>
      </c>
      <c r="T160" s="634"/>
      <c r="U160" s="149"/>
    </row>
    <row r="161" spans="1:21" s="36" customFormat="1" ht="12.75" customHeight="1" x14ac:dyDescent="0.2">
      <c r="A161" s="35"/>
      <c r="B161" s="143"/>
      <c r="C161" s="221" t="s">
        <v>592</v>
      </c>
      <c r="D161" s="221"/>
      <c r="E161" s="163" t="s">
        <v>367</v>
      </c>
      <c r="F161" s="163"/>
      <c r="G161" s="35"/>
      <c r="H161" s="662" cm="1">
        <f t="array" ref="H161">C_MOPK S_mini_idle</f>
        <v>0</v>
      </c>
      <c r="I161" s="663"/>
      <c r="J161" s="662" cm="1">
        <f t="array" ref="J161">C_MOPK S_approach_idle</f>
        <v>0</v>
      </c>
      <c r="K161" s="663"/>
      <c r="L161" s="662" cm="1">
        <f t="array" ref="L161">C_MOPK S_maxi_continu1</f>
        <v>0</v>
      </c>
      <c r="M161" s="663"/>
      <c r="N161" s="662" cm="1">
        <f t="array" ref="N161">C_MOPK S_take_off1</f>
        <v>0</v>
      </c>
      <c r="O161" s="663"/>
      <c r="P161" s="633" t="str" cm="1">
        <f t="array" ref="P161">IF('RATINGS QUESTION'!$K$5="YES","N/A", C_MOPK S_maxi_continu2)</f>
        <v>N/A</v>
      </c>
      <c r="Q161" s="634"/>
      <c r="R161" s="635"/>
      <c r="S161" s="662" t="str" cm="1">
        <f t="array" ref="S161">IF('RATINGS QUESTION'!$K$5="YES","N/A", C_MOPK S_take_off2)</f>
        <v>N/A</v>
      </c>
      <c r="T161" s="664"/>
      <c r="U161" s="149"/>
    </row>
    <row r="162" spans="1:21" ht="12.75" customHeight="1" x14ac:dyDescent="0.2">
      <c r="A162" s="143"/>
      <c r="B162" s="143"/>
      <c r="C162" s="143"/>
      <c r="D162" s="143"/>
      <c r="E162" s="143"/>
      <c r="F162" s="143"/>
      <c r="G162" s="143"/>
      <c r="H162" s="284"/>
      <c r="I162" s="285"/>
      <c r="J162" s="284"/>
      <c r="K162" s="286"/>
      <c r="L162" s="287"/>
      <c r="M162" s="288"/>
      <c r="N162" s="287"/>
      <c r="O162" s="288"/>
      <c r="P162" s="287"/>
      <c r="Q162" s="149"/>
      <c r="R162" s="288"/>
      <c r="S162" s="287"/>
      <c r="T162" s="149"/>
      <c r="U162" s="149"/>
    </row>
    <row r="163" spans="1:21" ht="12.75" customHeight="1" thickBot="1" x14ac:dyDescent="0.25">
      <c r="A163" s="143"/>
      <c r="B163" s="143"/>
      <c r="C163" s="143"/>
      <c r="D163" s="143"/>
      <c r="E163" s="143"/>
      <c r="F163" s="143"/>
      <c r="G163" s="143"/>
      <c r="H163" s="284"/>
      <c r="I163" s="285"/>
      <c r="J163" s="284"/>
      <c r="K163" s="286"/>
      <c r="L163" s="287"/>
      <c r="M163" s="288"/>
      <c r="N163" s="287"/>
      <c r="O163" s="288"/>
      <c r="P163" s="287"/>
      <c r="Q163" s="149"/>
      <c r="R163" s="288"/>
      <c r="S163" s="287"/>
      <c r="T163" s="149"/>
      <c r="U163" s="149"/>
    </row>
    <row r="164" spans="1:21" ht="16.5" customHeight="1" thickBot="1" x14ac:dyDescent="0.25">
      <c r="A164" s="143"/>
      <c r="B164" s="649" t="s">
        <v>535</v>
      </c>
      <c r="C164" s="650"/>
      <c r="D164" s="650"/>
      <c r="E164" s="650"/>
      <c r="F164" s="650"/>
      <c r="G164" s="661"/>
      <c r="H164" s="285"/>
      <c r="I164" s="285"/>
      <c r="J164" s="284"/>
      <c r="K164" s="286"/>
      <c r="L164" s="287"/>
      <c r="M164" s="288"/>
      <c r="N164" s="287"/>
      <c r="O164" s="288"/>
      <c r="P164" s="287"/>
      <c r="Q164" s="149"/>
      <c r="R164" s="288"/>
      <c r="S164" s="287"/>
      <c r="T164" s="149"/>
      <c r="U164" s="149"/>
    </row>
    <row r="165" spans="1:21" ht="12.75" customHeight="1" x14ac:dyDescent="0.2">
      <c r="A165" s="143"/>
      <c r="B165" s="143"/>
      <c r="C165" s="143"/>
      <c r="D165" s="143"/>
      <c r="E165" s="143"/>
      <c r="F165" s="143"/>
      <c r="G165" s="143"/>
      <c r="H165" s="284"/>
      <c r="I165" s="285"/>
      <c r="J165" s="284"/>
      <c r="K165" s="286"/>
      <c r="L165" s="287"/>
      <c r="M165" s="288"/>
      <c r="N165" s="287"/>
      <c r="O165" s="288"/>
      <c r="P165" s="287"/>
      <c r="Q165" s="149"/>
      <c r="R165" s="288"/>
      <c r="S165" s="287"/>
      <c r="T165" s="149"/>
      <c r="U165" s="149"/>
    </row>
    <row r="166" spans="1:21" ht="12.75" customHeight="1" x14ac:dyDescent="0.2">
      <c r="A166" s="143"/>
      <c r="B166" s="143"/>
      <c r="C166" s="162" t="s">
        <v>408</v>
      </c>
      <c r="D166" s="162"/>
      <c r="E166" s="163" t="s">
        <v>368</v>
      </c>
      <c r="F166" s="163"/>
      <c r="G166" s="143"/>
      <c r="H166" s="645" cm="1">
        <f t="array" ref="H166">C_VIBN1PAL S_mini_idle</f>
        <v>0</v>
      </c>
      <c r="I166" s="646"/>
      <c r="J166" s="645" cm="1">
        <f t="array" ref="J166">C_VIBN1PAL S_approach_idle</f>
        <v>0</v>
      </c>
      <c r="K166" s="646"/>
      <c r="L166" s="645" cm="1">
        <f t="array" ref="L166">C_VIBN1PAL S_maxi_continu1</f>
        <v>0</v>
      </c>
      <c r="M166" s="646"/>
      <c r="N166" s="645" cm="1">
        <f t="array" ref="N166">C_VIBN1PAL S_take_off1</f>
        <v>0</v>
      </c>
      <c r="O166" s="646"/>
      <c r="P166" s="645" t="str" cm="1">
        <f t="array" ref="P166">IF('RATINGS QUESTION'!$K$5="YES","N/A",C_VIBN1PAL S_maxi_continu2)</f>
        <v>N/A</v>
      </c>
      <c r="Q166" s="648"/>
      <c r="R166" s="646"/>
      <c r="S166" s="645" t="str" cm="1">
        <f t="array" ref="S166">IF('RATINGS QUESTION'!$K$5="YES","N/A",C_VIBN1PAL S_take_off2)</f>
        <v>N/A</v>
      </c>
      <c r="T166" s="648"/>
      <c r="U166" s="149"/>
    </row>
    <row r="167" spans="1:21" ht="12.75" customHeight="1" x14ac:dyDescent="0.2">
      <c r="A167" s="143"/>
      <c r="B167" s="143"/>
      <c r="C167" s="162" t="s">
        <v>409</v>
      </c>
      <c r="D167" s="162"/>
      <c r="E167" s="163" t="s">
        <v>369</v>
      </c>
      <c r="F167" s="163"/>
      <c r="G167" s="143"/>
      <c r="H167" s="645" cm="1">
        <f t="array" ref="H167">C_VIBN2PAL S_mini_idle</f>
        <v>0</v>
      </c>
      <c r="I167" s="646"/>
      <c r="J167" s="645" cm="1">
        <f t="array" ref="J167">C_VIBN2PAL S_approach_idle</f>
        <v>0</v>
      </c>
      <c r="K167" s="646"/>
      <c r="L167" s="645" cm="1">
        <f t="array" ref="L167">C_VIBN2PAL S_maxi_continu1</f>
        <v>0</v>
      </c>
      <c r="M167" s="646"/>
      <c r="N167" s="645" cm="1">
        <f t="array" ref="N167">C_VIBN2PAL S_take_off1</f>
        <v>0</v>
      </c>
      <c r="O167" s="646"/>
      <c r="P167" s="645" t="str" cm="1">
        <f t="array" ref="P167">IF('RATINGS QUESTION'!$K$5="YES","N/A",C_VIBN2PAL S_maxi_continu2)</f>
        <v>N/A</v>
      </c>
      <c r="Q167" s="648"/>
      <c r="R167" s="646"/>
      <c r="S167" s="645" t="str" cm="1">
        <f t="array" ref="S167">IF('RATINGS QUESTION'!$K$5="YES","N/A",C_VIBN2PAL S_take_off2)</f>
        <v>N/A</v>
      </c>
      <c r="T167" s="648"/>
      <c r="U167" s="149"/>
    </row>
    <row r="168" spans="1:21" ht="12.75" customHeight="1" x14ac:dyDescent="0.2">
      <c r="A168" s="143"/>
      <c r="B168" s="143"/>
      <c r="C168" s="162" t="s">
        <v>410</v>
      </c>
      <c r="D168" s="162"/>
      <c r="E168" s="163" t="s">
        <v>368</v>
      </c>
      <c r="F168" s="163"/>
      <c r="G168" s="143"/>
      <c r="H168" s="645" cm="1">
        <f t="array" ref="H168">C_VIBN1TRF S_mini_idle</f>
        <v>0</v>
      </c>
      <c r="I168" s="646"/>
      <c r="J168" s="645" cm="1">
        <f t="array" ref="J168">C_VIBN1TRF S_approach_idle</f>
        <v>0</v>
      </c>
      <c r="K168" s="646"/>
      <c r="L168" s="645" cm="1">
        <f t="array" ref="L168">C_VIBN1TRF S_maxi_continu1</f>
        <v>0</v>
      </c>
      <c r="M168" s="646"/>
      <c r="N168" s="645" cm="1">
        <f t="array" ref="N168">C_VIBN1TRF S_take_off1</f>
        <v>0</v>
      </c>
      <c r="O168" s="646"/>
      <c r="P168" s="645" t="str" cm="1">
        <f t="array" ref="P168">IF('RATINGS QUESTION'!$K$5="YES","N/A",C_VIBN1TRF S_maxi_continu2)</f>
        <v>N/A</v>
      </c>
      <c r="Q168" s="648"/>
      <c r="R168" s="646"/>
      <c r="S168" s="645" t="str" cm="1">
        <f t="array" ref="S168">IF('RATINGS QUESTION'!$K$5="YES","N/A",C_VIBN1TRF S_take_off2)</f>
        <v>N/A</v>
      </c>
      <c r="T168" s="648"/>
      <c r="U168" s="149"/>
    </row>
    <row r="169" spans="1:21" ht="12.75" customHeight="1" x14ac:dyDescent="0.2">
      <c r="A169" s="143"/>
      <c r="B169" s="143"/>
      <c r="C169" s="162" t="s">
        <v>411</v>
      </c>
      <c r="D169" s="162"/>
      <c r="E169" s="163" t="s">
        <v>369</v>
      </c>
      <c r="F169" s="163"/>
      <c r="G169" s="143"/>
      <c r="H169" s="645" cm="1">
        <f t="array" ref="H169">C_VIBN2TRF S_mini_idle</f>
        <v>0</v>
      </c>
      <c r="I169" s="646"/>
      <c r="J169" s="645" cm="1">
        <f t="array" ref="J169">C_VIBN2TRF S_approach_idle</f>
        <v>0</v>
      </c>
      <c r="K169" s="646"/>
      <c r="L169" s="645" cm="1">
        <f t="array" ref="L169">C_VIBN2TRF S_maxi_continu1</f>
        <v>0</v>
      </c>
      <c r="M169" s="646"/>
      <c r="N169" s="645" cm="1">
        <f t="array" ref="N169">C_VIBN2TRF S_take_off1</f>
        <v>0</v>
      </c>
      <c r="O169" s="646"/>
      <c r="P169" s="645" t="str" cm="1">
        <f t="array" ref="P169">IF('RATINGS QUESTION'!$K$5="YES","N/A",C_VIBN2TRF S_maxi_continu2)</f>
        <v>N/A</v>
      </c>
      <c r="Q169" s="648"/>
      <c r="R169" s="646"/>
      <c r="S169" s="645" t="str" cm="1">
        <f t="array" ref="S169">IF('RATINGS QUESTION'!$K$5="YES","N/A",C_VIBN2TRF S_take_off2)</f>
        <v>N/A</v>
      </c>
      <c r="T169" s="648"/>
      <c r="U169" s="149"/>
    </row>
    <row r="170" spans="1:21" ht="12.75" customHeight="1" x14ac:dyDescent="0.25">
      <c r="A170" s="143"/>
      <c r="B170" s="143"/>
      <c r="C170" s="143"/>
      <c r="D170" s="143"/>
      <c r="E170" s="143"/>
      <c r="F170" s="143"/>
      <c r="G170" s="143"/>
      <c r="H170" s="210"/>
      <c r="I170" s="211"/>
      <c r="J170" s="210"/>
      <c r="K170" s="212"/>
      <c r="L170" s="213"/>
      <c r="M170" s="214"/>
      <c r="N170" s="213"/>
      <c r="O170" s="214"/>
      <c r="P170" s="213"/>
      <c r="Q170" s="155"/>
      <c r="R170" s="214"/>
      <c r="S170" s="213"/>
      <c r="T170" s="155"/>
      <c r="U170" s="149"/>
    </row>
    <row r="171" spans="1:21" ht="12.75" customHeight="1" x14ac:dyDescent="0.25">
      <c r="A171" s="143"/>
      <c r="B171" s="143"/>
      <c r="C171" s="143"/>
      <c r="D171" s="143"/>
      <c r="E171" s="143"/>
      <c r="F171" s="143"/>
      <c r="G171" s="143"/>
      <c r="H171" s="210"/>
      <c r="I171" s="211"/>
      <c r="J171" s="210"/>
      <c r="K171" s="212"/>
      <c r="L171" s="213"/>
      <c r="M171" s="214"/>
      <c r="N171" s="213"/>
      <c r="O171" s="214"/>
      <c r="P171" s="213"/>
      <c r="Q171" s="155"/>
      <c r="R171" s="214"/>
      <c r="S171" s="213"/>
      <c r="T171" s="155"/>
      <c r="U171" s="149"/>
    </row>
    <row r="172" spans="1:21" ht="12.75" customHeight="1" x14ac:dyDescent="0.25">
      <c r="A172" s="143"/>
      <c r="B172" s="143"/>
      <c r="C172" s="143"/>
      <c r="D172" s="143"/>
      <c r="E172" s="143"/>
      <c r="F172" s="143"/>
      <c r="G172" s="143"/>
      <c r="H172" s="210"/>
      <c r="I172" s="211"/>
      <c r="J172" s="210"/>
      <c r="K172" s="212"/>
      <c r="L172" s="213"/>
      <c r="M172" s="214"/>
      <c r="N172" s="213"/>
      <c r="O172" s="214"/>
      <c r="P172" s="213"/>
      <c r="Q172" s="155"/>
      <c r="R172" s="214"/>
      <c r="S172" s="213"/>
      <c r="T172" s="155"/>
      <c r="U172" s="149"/>
    </row>
    <row r="173" spans="1:21" ht="12.75" customHeight="1" x14ac:dyDescent="0.25">
      <c r="A173" s="143"/>
      <c r="B173" s="143"/>
      <c r="C173" s="143"/>
      <c r="D173" s="143"/>
      <c r="E173" s="143"/>
      <c r="F173" s="143"/>
      <c r="G173" s="143"/>
      <c r="H173" s="211"/>
      <c r="I173" s="211"/>
      <c r="J173" s="211"/>
      <c r="K173" s="211"/>
      <c r="L173" s="155"/>
      <c r="M173" s="155"/>
      <c r="N173" s="155"/>
      <c r="O173" s="155"/>
      <c r="P173" s="155"/>
      <c r="Q173" s="155"/>
      <c r="R173" s="155"/>
      <c r="S173" s="155"/>
      <c r="T173" s="155"/>
      <c r="U173" s="149"/>
    </row>
    <row r="174" spans="1:21" ht="12.75" customHeight="1" x14ac:dyDescent="0.2">
      <c r="A174" s="143"/>
      <c r="B174" s="143"/>
      <c r="C174" s="162"/>
      <c r="D174" s="162"/>
      <c r="E174" s="143"/>
      <c r="F174" s="143"/>
      <c r="G174" s="197"/>
      <c r="H174" s="197"/>
      <c r="I174" s="197"/>
      <c r="J174" s="198"/>
      <c r="K174" s="198"/>
      <c r="L174" s="197"/>
      <c r="M174" s="143"/>
      <c r="N174" s="162"/>
      <c r="O174" s="197"/>
      <c r="P174" s="143"/>
      <c r="Q174" s="143"/>
      <c r="R174" s="143"/>
      <c r="S174" s="143"/>
      <c r="T174" s="644" t="s">
        <v>421</v>
      </c>
      <c r="U174" s="644"/>
    </row>
    <row r="175" spans="1:21" x14ac:dyDescent="0.2">
      <c r="A175" s="143"/>
      <c r="B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</row>
    <row r="176" spans="1:21" ht="16.5" customHeight="1" x14ac:dyDescent="0.25">
      <c r="A176" s="143"/>
      <c r="B176" s="143"/>
      <c r="C176" s="154"/>
      <c r="D176" s="154"/>
      <c r="E176" s="154"/>
      <c r="F176" s="154"/>
      <c r="G176" s="155"/>
      <c r="H176" s="653" t="s">
        <v>526</v>
      </c>
      <c r="I176" s="654"/>
      <c r="J176" s="655" t="s">
        <v>527</v>
      </c>
      <c r="K176" s="654"/>
      <c r="L176" s="655" t="s">
        <v>525</v>
      </c>
      <c r="M176" s="654"/>
      <c r="N176" s="655" t="s">
        <v>441</v>
      </c>
      <c r="O176" s="654"/>
      <c r="P176" s="655" t="s">
        <v>525</v>
      </c>
      <c r="Q176" s="653"/>
      <c r="R176" s="654"/>
      <c r="S176" s="655" t="s">
        <v>441</v>
      </c>
      <c r="T176" s="653"/>
      <c r="U176" s="156"/>
    </row>
    <row r="177" spans="1:21" s="42" customFormat="1" ht="12.75" customHeight="1" x14ac:dyDescent="0.25">
      <c r="A177" s="143"/>
      <c r="B177" s="293"/>
      <c r="C177" s="293"/>
      <c r="D177" s="293"/>
      <c r="E177" s="293"/>
      <c r="F177" s="293"/>
      <c r="G177" s="293"/>
      <c r="H177" s="639"/>
      <c r="I177" s="640"/>
      <c r="J177" s="638"/>
      <c r="K177" s="640"/>
      <c r="L177" s="638" cm="1">
        <f t="array" ref="L177" xml:space="preserve"> VLOOKUP(C_Engine_Rating S_maxi_continu1, enum_list!$A$2:$F$102,3,1)</f>
        <v>0</v>
      </c>
      <c r="M177" s="640"/>
      <c r="N177" s="638" cm="1">
        <f t="array" ref="N177" xml:space="preserve"> VLOOKUP(C_Engine_Rating S_take_off1, enum_list!$A$2:$F$102,3,1)</f>
        <v>0</v>
      </c>
      <c r="O177" s="640"/>
      <c r="P177" s="641" t="str" cm="1">
        <f t="array" ref="P177">IF('RATINGS QUESTION'!$K$5="YES","N/A",VLOOKUP(C_Engine_Rating S_maxi_continu2, enum_list!$A$2:$F$102,3,1))</f>
        <v>N/A</v>
      </c>
      <c r="Q177" s="642"/>
      <c r="R177" s="643"/>
      <c r="S177" s="638" t="str" cm="1">
        <f t="array" ref="S177">IF('RATINGS QUESTION'!$K$5="YES","N/A",VLOOKUP(C_Engine_Rating S_take_off2, enum_list!$A$2:$F$102,3,1))</f>
        <v>N/A</v>
      </c>
      <c r="T177" s="639"/>
      <c r="U177" s="290"/>
    </row>
    <row r="178" spans="1:21" s="42" customFormat="1" ht="12.75" customHeight="1" thickBot="1" x14ac:dyDescent="0.3">
      <c r="A178" s="143"/>
      <c r="B178" s="294"/>
      <c r="C178" s="294"/>
      <c r="D178" s="294"/>
      <c r="E178" s="294"/>
      <c r="F178" s="294"/>
      <c r="G178" s="294"/>
      <c r="H178" s="290"/>
      <c r="I178" s="292"/>
      <c r="J178" s="291"/>
      <c r="K178" s="292"/>
      <c r="L178" s="291"/>
      <c r="M178" s="292"/>
      <c r="N178" s="291"/>
      <c r="O178" s="292"/>
      <c r="P178" s="291"/>
      <c r="Q178" s="290"/>
      <c r="R178" s="292"/>
      <c r="S178" s="291"/>
      <c r="T178" s="290"/>
      <c r="U178" s="290"/>
    </row>
    <row r="179" spans="1:21" ht="16.5" customHeight="1" thickBot="1" x14ac:dyDescent="0.25">
      <c r="A179" s="143"/>
      <c r="B179" s="649" t="s">
        <v>370</v>
      </c>
      <c r="C179" s="650"/>
      <c r="D179" s="651" t="s">
        <v>371</v>
      </c>
      <c r="E179" s="651"/>
      <c r="F179" s="651"/>
      <c r="G179" s="652"/>
      <c r="H179" s="157"/>
      <c r="I179" s="159"/>
      <c r="J179" s="143"/>
      <c r="K179" s="159"/>
      <c r="L179" s="158"/>
      <c r="M179" s="159"/>
      <c r="N179" s="158"/>
      <c r="O179" s="159"/>
      <c r="P179" s="158"/>
      <c r="Q179" s="143"/>
      <c r="R179" s="159"/>
      <c r="S179" s="158"/>
      <c r="T179" s="143"/>
      <c r="U179" s="143"/>
    </row>
    <row r="180" spans="1:21" ht="12.75" customHeight="1" x14ac:dyDescent="0.2">
      <c r="A180" s="143"/>
      <c r="B180" s="143"/>
      <c r="C180" s="143"/>
      <c r="D180" s="143"/>
      <c r="E180" s="143"/>
      <c r="F180" s="143"/>
      <c r="G180" s="143"/>
      <c r="H180" s="222"/>
      <c r="I180" s="217"/>
      <c r="J180" s="216"/>
      <c r="K180" s="217"/>
      <c r="L180" s="215"/>
      <c r="M180" s="217"/>
      <c r="N180" s="215"/>
      <c r="O180" s="217"/>
      <c r="P180" s="215"/>
      <c r="Q180" s="216"/>
      <c r="R180" s="217"/>
      <c r="S180" s="215"/>
      <c r="T180" s="216"/>
      <c r="U180" s="143"/>
    </row>
    <row r="181" spans="1:21" ht="12.75" customHeight="1" x14ac:dyDescent="0.2">
      <c r="A181" s="143"/>
      <c r="B181" s="162" t="s">
        <v>372</v>
      </c>
      <c r="C181" s="162" t="s">
        <v>414</v>
      </c>
      <c r="D181" s="162" t="s">
        <v>428</v>
      </c>
      <c r="E181" s="163" t="s">
        <v>3</v>
      </c>
      <c r="F181" s="143"/>
      <c r="G181" s="143"/>
      <c r="H181" s="645" cm="1">
        <f t="array" ref="H181">C_N1_IND_A S_mini_idle</f>
        <v>0</v>
      </c>
      <c r="I181" s="646"/>
      <c r="J181" s="645" cm="1">
        <f t="array" ref="J181">C_N1_IND_A S_approach_idle</f>
        <v>0</v>
      </c>
      <c r="K181" s="646"/>
      <c r="L181" s="645" cm="1">
        <f t="array" ref="L181">C_N1_IND_A S_maxi_continu1</f>
        <v>0</v>
      </c>
      <c r="M181" s="646"/>
      <c r="N181" s="645" cm="1">
        <f t="array" ref="N181">C_N1_IND_A S_take_off1</f>
        <v>0</v>
      </c>
      <c r="O181" s="646"/>
      <c r="P181" s="645" t="str" cm="1">
        <f t="array" ref="P181">IF('RATINGS QUESTION'!$K$5="YES","N/A",C_N1_IND_A S_maxi_continu2)</f>
        <v>N/A</v>
      </c>
      <c r="Q181" s="648"/>
      <c r="R181" s="646"/>
      <c r="S181" s="645" t="str" cm="1">
        <f t="array" ref="S181">IF('RATINGS QUESTION'!$K$5="YES","N/A",C_N1_IND_A S_take_off2)</f>
        <v>N/A</v>
      </c>
      <c r="T181" s="648"/>
      <c r="U181" s="143"/>
    </row>
    <row r="182" spans="1:21" ht="12.75" customHeight="1" x14ac:dyDescent="0.2">
      <c r="A182" s="143"/>
      <c r="B182" s="162" t="s">
        <v>373</v>
      </c>
      <c r="C182" s="162" t="s">
        <v>414</v>
      </c>
      <c r="D182" s="162" t="s">
        <v>428</v>
      </c>
      <c r="E182" s="163" t="s">
        <v>3</v>
      </c>
      <c r="F182" s="143"/>
      <c r="G182" s="143"/>
      <c r="H182" s="645" cm="1">
        <f t="array" ref="H182">C_N1_IND_B S_mini_idle</f>
        <v>0</v>
      </c>
      <c r="I182" s="646"/>
      <c r="J182" s="645" cm="1">
        <f t="array" ref="J182">C_N1_IND_B S_approach_idle</f>
        <v>0</v>
      </c>
      <c r="K182" s="646"/>
      <c r="L182" s="645" cm="1">
        <f t="array" ref="L182">C_N1_IND_B S_maxi_continu1</f>
        <v>0</v>
      </c>
      <c r="M182" s="646"/>
      <c r="N182" s="645" cm="1">
        <f t="array" ref="N182">C_N1_IND_B S_take_off1</f>
        <v>0</v>
      </c>
      <c r="O182" s="646"/>
      <c r="P182" s="645" t="str" cm="1">
        <f t="array" ref="P182">IF('RATINGS QUESTION'!$K$5="YES","N/A",C_N1_IND_B S_maxi_continu2)</f>
        <v>N/A</v>
      </c>
      <c r="Q182" s="648"/>
      <c r="R182" s="646"/>
      <c r="S182" s="645" t="str" cm="1">
        <f t="array" ref="S182">IF('RATINGS QUESTION'!$K$5="YES","N/A",C_N1_IND_B S_take_off2)</f>
        <v>N/A</v>
      </c>
      <c r="T182" s="648"/>
      <c r="U182" s="143"/>
    </row>
    <row r="183" spans="1:21" ht="12.75" customHeight="1" x14ac:dyDescent="0.2">
      <c r="A183" s="143"/>
      <c r="B183" s="162" t="s">
        <v>372</v>
      </c>
      <c r="C183" s="162" t="s">
        <v>374</v>
      </c>
      <c r="D183" s="162" t="s">
        <v>429</v>
      </c>
      <c r="E183" s="163" t="s">
        <v>3</v>
      </c>
      <c r="F183" s="163"/>
      <c r="G183" s="143"/>
      <c r="H183" s="645" cm="1">
        <f t="array" ref="H183">C_N1_ECU_CMD_A S_mini_idle</f>
        <v>0</v>
      </c>
      <c r="I183" s="646"/>
      <c r="J183" s="645" cm="1">
        <f t="array" ref="J183">C_N1_ECU_CMD_A S_approach_idle</f>
        <v>0</v>
      </c>
      <c r="K183" s="646"/>
      <c r="L183" s="645" cm="1">
        <f t="array" ref="L183">C_N1_ECU_CMD_A S_maxi_continu1</f>
        <v>0</v>
      </c>
      <c r="M183" s="646"/>
      <c r="N183" s="645" cm="1">
        <f t="array" ref="N183">C_N1_ECU_CMD_A S_take_off1</f>
        <v>0</v>
      </c>
      <c r="O183" s="646"/>
      <c r="P183" s="645" t="str" cm="1">
        <f t="array" ref="P183">IF('RATINGS QUESTION'!$K$5="YES","N/A",C_N1_ECU_CMD_A S_maxi_continu2)</f>
        <v>N/A</v>
      </c>
      <c r="Q183" s="648"/>
      <c r="R183" s="646"/>
      <c r="S183" s="645" t="str" cm="1">
        <f t="array" ref="S183">IF('RATINGS QUESTION'!$K$5="YES","N/A",C_N1_ECU_CMD_A S_take_off2)</f>
        <v>N/A</v>
      </c>
      <c r="T183" s="648"/>
      <c r="U183" s="143"/>
    </row>
    <row r="184" spans="1:21" x14ac:dyDescent="0.2">
      <c r="A184" s="143"/>
      <c r="B184" s="162" t="s">
        <v>373</v>
      </c>
      <c r="C184" s="162" t="s">
        <v>374</v>
      </c>
      <c r="D184" s="162" t="s">
        <v>429</v>
      </c>
      <c r="E184" s="163" t="s">
        <v>3</v>
      </c>
      <c r="F184" s="163"/>
      <c r="G184" s="143"/>
      <c r="H184" s="645" cm="1">
        <f t="array" ref="H184">C_N1_ECU_CMD_B S_mini_idle</f>
        <v>0</v>
      </c>
      <c r="I184" s="646"/>
      <c r="J184" s="645" cm="1">
        <f t="array" ref="J184">C_N1_ECU_CMD_B S_approach_idle</f>
        <v>0</v>
      </c>
      <c r="K184" s="646"/>
      <c r="L184" s="645" cm="1">
        <f t="array" ref="L184">C_N1_ECU_CMD_B S_maxi_continu1</f>
        <v>0</v>
      </c>
      <c r="M184" s="646"/>
      <c r="N184" s="645" cm="1">
        <f t="array" ref="N184">C_N1_ECU_CMD_B S_take_off1</f>
        <v>0</v>
      </c>
      <c r="O184" s="646"/>
      <c r="P184" s="645" t="str" cm="1">
        <f t="array" ref="P184">IF('RATINGS QUESTION'!$K$5="YES","N/A",C_N1_ECU_CMD_B S_maxi_continu2)</f>
        <v>N/A</v>
      </c>
      <c r="Q184" s="648"/>
      <c r="R184" s="646"/>
      <c r="S184" s="645" t="str" cm="1">
        <f t="array" ref="S184">IF('RATINGS QUESTION'!$K$5="YES","N/A",C_N1_ECU_CMD_B S_take_off2)</f>
        <v>N/A</v>
      </c>
      <c r="T184" s="648"/>
      <c r="U184" s="143"/>
    </row>
    <row r="185" spans="1:21" x14ac:dyDescent="0.2">
      <c r="A185" s="143"/>
      <c r="B185" s="162" t="s">
        <v>372</v>
      </c>
      <c r="C185" s="162" t="s">
        <v>375</v>
      </c>
      <c r="D185" s="162" t="s">
        <v>376</v>
      </c>
      <c r="E185" s="163" t="s">
        <v>3</v>
      </c>
      <c r="F185" s="163"/>
      <c r="G185" s="143"/>
      <c r="H185" s="645" cm="1">
        <f t="array" ref="H185">C_N2_SEL_A S_mini_idle</f>
        <v>0</v>
      </c>
      <c r="I185" s="646"/>
      <c r="J185" s="645" cm="1">
        <f t="array" ref="J185">C_N2_SEL_A S_approach_idle</f>
        <v>0</v>
      </c>
      <c r="K185" s="646"/>
      <c r="L185" s="645" cm="1">
        <f t="array" ref="L185">C_N2_SEL_A S_maxi_continu1</f>
        <v>0</v>
      </c>
      <c r="M185" s="646"/>
      <c r="N185" s="645" cm="1">
        <f t="array" ref="N185">C_N2_SEL_A S_take_off1</f>
        <v>0</v>
      </c>
      <c r="O185" s="646"/>
      <c r="P185" s="645" t="str" cm="1">
        <f t="array" ref="P185">IF('RATINGS QUESTION'!$K$5="YES","N/A",C_N2_SEL_A S_maxi_continu2)</f>
        <v>N/A</v>
      </c>
      <c r="Q185" s="648"/>
      <c r="R185" s="646"/>
      <c r="S185" s="645" t="str" cm="1">
        <f t="array" ref="S185">IF('RATINGS QUESTION'!$K$5="YES","N/A",C_N2_SEL_A S_take_off2)</f>
        <v>N/A</v>
      </c>
      <c r="T185" s="648"/>
      <c r="U185" s="143"/>
    </row>
    <row r="186" spans="1:21" x14ac:dyDescent="0.2">
      <c r="A186" s="143"/>
      <c r="B186" s="162" t="s">
        <v>373</v>
      </c>
      <c r="C186" s="162" t="s">
        <v>375</v>
      </c>
      <c r="D186" s="162" t="s">
        <v>376</v>
      </c>
      <c r="E186" s="163" t="s">
        <v>3</v>
      </c>
      <c r="F186" s="163"/>
      <c r="G186" s="143"/>
      <c r="H186" s="645" cm="1">
        <f t="array" ref="H186">C_N2_SEL_B S_mini_idle</f>
        <v>0</v>
      </c>
      <c r="I186" s="646"/>
      <c r="J186" s="645" cm="1">
        <f t="array" ref="J186">C_N2_SEL_B S_approach_idle</f>
        <v>0</v>
      </c>
      <c r="K186" s="646"/>
      <c r="L186" s="645" cm="1">
        <f t="array" ref="L186">C_N2_SEL_B S_maxi_continu1</f>
        <v>0</v>
      </c>
      <c r="M186" s="646"/>
      <c r="N186" s="645" cm="1">
        <f t="array" ref="N186">C_N2_SEL_B S_take_off1</f>
        <v>0</v>
      </c>
      <c r="O186" s="646"/>
      <c r="P186" s="645" t="str" cm="1">
        <f t="array" ref="P186">IF('RATINGS QUESTION'!$K$5="YES","N/A",C_N2_SEL_B S_maxi_continu2)</f>
        <v>N/A</v>
      </c>
      <c r="Q186" s="648"/>
      <c r="R186" s="646"/>
      <c r="S186" s="645" t="str" cm="1">
        <f t="array" ref="S186">IF('RATINGS QUESTION'!$K$5="YES","N/A",C_N2_SEL_B S_take_off2)</f>
        <v>N/A</v>
      </c>
      <c r="T186" s="648"/>
      <c r="U186" s="143"/>
    </row>
    <row r="187" spans="1:21" x14ac:dyDescent="0.2">
      <c r="A187" s="143"/>
      <c r="B187" s="162" t="s">
        <v>372</v>
      </c>
      <c r="C187" s="162" t="s">
        <v>430</v>
      </c>
      <c r="D187" s="162" t="s">
        <v>431</v>
      </c>
      <c r="E187" s="163" t="s">
        <v>438</v>
      </c>
      <c r="F187" s="163"/>
      <c r="G187" s="143"/>
      <c r="H187" s="645" cm="1">
        <f t="array" ref="H187">C_TLA_SEL_A S_mini_idle</f>
        <v>0</v>
      </c>
      <c r="I187" s="646"/>
      <c r="J187" s="645" cm="1">
        <f t="array" ref="J187">C_TLA_SEL_A S_approach_idle</f>
        <v>0</v>
      </c>
      <c r="K187" s="646"/>
      <c r="L187" s="645" cm="1">
        <f t="array" ref="L187">C_TLA_SEL_A S_maxi_continu1</f>
        <v>0</v>
      </c>
      <c r="M187" s="646"/>
      <c r="N187" s="645" cm="1">
        <f t="array" ref="N187">C_TLA_SEL_A S_take_off1</f>
        <v>0</v>
      </c>
      <c r="O187" s="646"/>
      <c r="P187" s="645" t="str" cm="1">
        <f t="array" ref="P187">IF('RATINGS QUESTION'!$K$5="YES","N/A",C_TLA_SEL_A S_maxi_continu2)</f>
        <v>N/A</v>
      </c>
      <c r="Q187" s="648"/>
      <c r="R187" s="646"/>
      <c r="S187" s="645" t="str" cm="1">
        <f t="array" ref="S187">IF('RATINGS QUESTION'!$K$5="YES","N/A",C_TLA_SEL_A S_take_off2)</f>
        <v>N/A</v>
      </c>
      <c r="T187" s="648"/>
      <c r="U187" s="143"/>
    </row>
    <row r="188" spans="1:21" ht="12.75" customHeight="1" x14ac:dyDescent="0.2">
      <c r="A188" s="143"/>
      <c r="B188" s="162" t="s">
        <v>373</v>
      </c>
      <c r="C188" s="162" t="s">
        <v>430</v>
      </c>
      <c r="D188" s="162" t="s">
        <v>431</v>
      </c>
      <c r="E188" s="163" t="s">
        <v>438</v>
      </c>
      <c r="F188" s="163"/>
      <c r="G188" s="143"/>
      <c r="H188" s="645" cm="1">
        <f t="array" ref="H188">C_TLA_SEL_B S_mini_idle</f>
        <v>0</v>
      </c>
      <c r="I188" s="646"/>
      <c r="J188" s="645" cm="1">
        <f t="array" ref="J188">C_TLA_SEL_B S_approach_idle</f>
        <v>0</v>
      </c>
      <c r="K188" s="646"/>
      <c r="L188" s="645" cm="1">
        <f t="array" ref="L188">C_TLA_SEL_B S_maxi_continu1</f>
        <v>0</v>
      </c>
      <c r="M188" s="646"/>
      <c r="N188" s="645" cm="1">
        <f t="array" ref="N188">C_TLA_SEL_B S_take_off1</f>
        <v>0</v>
      </c>
      <c r="O188" s="646"/>
      <c r="P188" s="645" t="str" cm="1">
        <f t="array" ref="P188">IF('RATINGS QUESTION'!$K$5="YES","N/A",C_TLA_SEL_B S_maxi_continu2)</f>
        <v>N/A</v>
      </c>
      <c r="Q188" s="648"/>
      <c r="R188" s="646"/>
      <c r="S188" s="645" t="str" cm="1">
        <f t="array" ref="S188">IF('RATINGS QUESTION'!$K$5="YES","N/A",C_TLA_SEL_B S_take_off2)</f>
        <v>N/A</v>
      </c>
      <c r="T188" s="648"/>
      <c r="U188" s="143"/>
    </row>
    <row r="189" spans="1:21" ht="12.75" customHeight="1" x14ac:dyDescent="0.2">
      <c r="A189" s="143"/>
      <c r="B189" s="162" t="s">
        <v>372</v>
      </c>
      <c r="C189" s="162" t="s">
        <v>377</v>
      </c>
      <c r="D189" s="162" t="s">
        <v>593</v>
      </c>
      <c r="E189" s="163" t="s">
        <v>331</v>
      </c>
      <c r="F189" s="163"/>
      <c r="G189" s="143"/>
      <c r="H189" s="658" cm="1">
        <f t="array" ref="H189">C_T12_ECU_A S_mini_idle</f>
        <v>0</v>
      </c>
      <c r="I189" s="659"/>
      <c r="J189" s="658" cm="1">
        <f t="array" ref="J189">C_T12_ECU_A S_approach_idle</f>
        <v>0</v>
      </c>
      <c r="K189" s="659"/>
      <c r="L189" s="658" cm="1">
        <f t="array" ref="L189">C_T12_ECU_A S_maxi_continu1</f>
        <v>0</v>
      </c>
      <c r="M189" s="659"/>
      <c r="N189" s="658" cm="1">
        <f t="array" ref="N189">C_T12_ECU_A S_take_off1</f>
        <v>0</v>
      </c>
      <c r="O189" s="659"/>
      <c r="P189" s="658" t="str" cm="1">
        <f t="array" ref="P189">IF('RATINGS QUESTION'!$K$5="YES","N/A",C_T12_ECU_A S_maxi_continu2)</f>
        <v>N/A</v>
      </c>
      <c r="Q189" s="660"/>
      <c r="R189" s="659"/>
      <c r="S189" s="658" t="str" cm="1">
        <f t="array" ref="S189">IF('RATINGS QUESTION'!$K$5="YES","N/A",C_T12_ECU_A S_take_off2)</f>
        <v>N/A</v>
      </c>
      <c r="T189" s="660"/>
      <c r="U189" s="143"/>
    </row>
    <row r="190" spans="1:21" ht="12.75" customHeight="1" x14ac:dyDescent="0.2">
      <c r="A190" s="143"/>
      <c r="B190" s="162" t="s">
        <v>373</v>
      </c>
      <c r="C190" s="162" t="s">
        <v>378</v>
      </c>
      <c r="D190" s="162" t="s">
        <v>593</v>
      </c>
      <c r="E190" s="163" t="s">
        <v>331</v>
      </c>
      <c r="F190" s="163"/>
      <c r="G190" s="143"/>
      <c r="H190" s="658" cm="1">
        <f t="array" ref="H190">C_T12_ECU_B S_mini_idle</f>
        <v>0</v>
      </c>
      <c r="I190" s="659"/>
      <c r="J190" s="658" cm="1">
        <f t="array" ref="J190">C_T12_ECU_B S_approach_idle</f>
        <v>0</v>
      </c>
      <c r="K190" s="659"/>
      <c r="L190" s="658" cm="1">
        <f t="array" ref="L190">C_T12_ECU_B S_maxi_continu1</f>
        <v>0</v>
      </c>
      <c r="M190" s="659"/>
      <c r="N190" s="658" cm="1">
        <f t="array" ref="N190">C_T12_ECU_B S_take_off1</f>
        <v>0</v>
      </c>
      <c r="O190" s="659"/>
      <c r="P190" s="658" t="str" cm="1">
        <f t="array" ref="P190">IF('RATINGS QUESTION'!$K$5="YES","N/A",C_T12_ECU_B S_maxi_continu2)</f>
        <v>N/A</v>
      </c>
      <c r="Q190" s="660"/>
      <c r="R190" s="659"/>
      <c r="S190" s="658" t="str" cm="1">
        <f t="array" ref="S190">IF('RATINGS QUESTION'!$K$5="YES","N/A",C_T12_ECU_B S_take_off2)</f>
        <v>N/A</v>
      </c>
      <c r="T190" s="660"/>
      <c r="U190" s="143"/>
    </row>
    <row r="191" spans="1:21" x14ac:dyDescent="0.2">
      <c r="A191" s="143"/>
      <c r="B191" s="162" t="s">
        <v>372</v>
      </c>
      <c r="C191" s="162" t="s">
        <v>379</v>
      </c>
      <c r="D191" s="162" t="s">
        <v>432</v>
      </c>
      <c r="E191" s="163" t="s">
        <v>331</v>
      </c>
      <c r="F191" s="163"/>
      <c r="G191" s="143"/>
      <c r="H191" s="658" cm="1">
        <f t="array" ref="H191">C_T25_SEL_A S_mini_idle</f>
        <v>0</v>
      </c>
      <c r="I191" s="659"/>
      <c r="J191" s="658" cm="1">
        <f t="array" ref="J191">C_T25_SEL_A S_approach_idle</f>
        <v>0</v>
      </c>
      <c r="K191" s="659"/>
      <c r="L191" s="658" cm="1">
        <f t="array" ref="L191">C_T25_SEL_A S_maxi_continu1</f>
        <v>0</v>
      </c>
      <c r="M191" s="659"/>
      <c r="N191" s="658" cm="1">
        <f t="array" ref="N191">C_T25_SEL_A S_take_off1</f>
        <v>0</v>
      </c>
      <c r="O191" s="659"/>
      <c r="P191" s="658" t="str" cm="1">
        <f t="array" ref="P191">IF('RATINGS QUESTION'!$K$5="YES","N/A",C_T25_SEL_A S_maxi_continu2)</f>
        <v>N/A</v>
      </c>
      <c r="Q191" s="660"/>
      <c r="R191" s="659"/>
      <c r="S191" s="658" t="str" cm="1">
        <f t="array" ref="S191">IF('RATINGS QUESTION'!$K$5="YES","N/A",C_T25_SEL_A S_take_off2)</f>
        <v>N/A</v>
      </c>
      <c r="T191" s="660"/>
      <c r="U191" s="143"/>
    </row>
    <row r="192" spans="1:21" x14ac:dyDescent="0.2">
      <c r="A192" s="143"/>
      <c r="B192" s="162" t="s">
        <v>373</v>
      </c>
      <c r="C192" s="162" t="s">
        <v>380</v>
      </c>
      <c r="D192" s="162" t="s">
        <v>432</v>
      </c>
      <c r="E192" s="163" t="s">
        <v>331</v>
      </c>
      <c r="F192" s="163"/>
      <c r="G192" s="143"/>
      <c r="H192" s="658" cm="1">
        <f t="array" ref="H192">C_T25_SEL_B S_mini_idle</f>
        <v>0</v>
      </c>
      <c r="I192" s="659"/>
      <c r="J192" s="658" cm="1">
        <f t="array" ref="J192">C_T25_SEL_B S_approach_idle</f>
        <v>0</v>
      </c>
      <c r="K192" s="659"/>
      <c r="L192" s="658" cm="1">
        <f t="array" ref="L192">C_T25_SEL_B S_maxi_continu1</f>
        <v>0</v>
      </c>
      <c r="M192" s="659"/>
      <c r="N192" s="658" cm="1">
        <f t="array" ref="N192">C_T25_SEL_B S_take_off1</f>
        <v>0</v>
      </c>
      <c r="O192" s="659"/>
      <c r="P192" s="658" t="str" cm="1">
        <f t="array" ref="P192">IF('RATINGS QUESTION'!$K$5="YES","N/A",C_T25_SEL_B S_maxi_continu2)</f>
        <v>N/A</v>
      </c>
      <c r="Q192" s="660"/>
      <c r="R192" s="659"/>
      <c r="S192" s="658" t="str" cm="1">
        <f t="array" ref="S192">IF('RATINGS QUESTION'!$K$5="YES","N/A",C_T25_SEL_B S_take_off2)</f>
        <v>N/A</v>
      </c>
      <c r="T192" s="660"/>
      <c r="U192" s="143"/>
    </row>
    <row r="193" spans="1:21" x14ac:dyDescent="0.2">
      <c r="A193" s="143"/>
      <c r="B193" s="162" t="s">
        <v>372</v>
      </c>
      <c r="C193" s="162" t="s">
        <v>381</v>
      </c>
      <c r="D193" s="162" t="s">
        <v>594</v>
      </c>
      <c r="E193" s="163" t="s">
        <v>331</v>
      </c>
      <c r="F193" s="163"/>
      <c r="G193" s="143"/>
      <c r="H193" s="658" cm="1">
        <f t="array" ref="H193">C_T3_SEL_A S_mini_idle</f>
        <v>0</v>
      </c>
      <c r="I193" s="659"/>
      <c r="J193" s="658" cm="1">
        <f t="array" ref="J193">C_T3_SEL_A S_approach_idle</f>
        <v>0</v>
      </c>
      <c r="K193" s="659"/>
      <c r="L193" s="658" cm="1">
        <f t="array" ref="L193">C_T3_SEL_A S_maxi_continu1</f>
        <v>0</v>
      </c>
      <c r="M193" s="659"/>
      <c r="N193" s="658" cm="1">
        <f t="array" ref="N193">C_T3_SEL_A S_take_off1</f>
        <v>0</v>
      </c>
      <c r="O193" s="659"/>
      <c r="P193" s="658" t="str" cm="1">
        <f t="array" ref="P193">IF('RATINGS QUESTION'!$K$5="YES","N/A",C_T3_SEL_A S_maxi_continu2)</f>
        <v>N/A</v>
      </c>
      <c r="Q193" s="660"/>
      <c r="R193" s="659"/>
      <c r="S193" s="658" t="str" cm="1">
        <f t="array" ref="S193">IF('RATINGS QUESTION'!$K$5="YES","N/A",C_T3_SEL_A S_take_off2)</f>
        <v>N/A</v>
      </c>
      <c r="T193" s="660"/>
      <c r="U193" s="143"/>
    </row>
    <row r="194" spans="1:21" x14ac:dyDescent="0.2">
      <c r="A194" s="143"/>
      <c r="B194" s="162" t="s">
        <v>373</v>
      </c>
      <c r="C194" s="162" t="s">
        <v>383</v>
      </c>
      <c r="D194" s="162" t="s">
        <v>594</v>
      </c>
      <c r="E194" s="163" t="s">
        <v>331</v>
      </c>
      <c r="F194" s="163"/>
      <c r="G194" s="143"/>
      <c r="H194" s="658" cm="1">
        <f t="array" ref="H194">C_T3_SEL_B S_mini_idle</f>
        <v>0</v>
      </c>
      <c r="I194" s="659"/>
      <c r="J194" s="658" cm="1">
        <f t="array" ref="J194">C_T3_SEL_B S_approach_idle</f>
        <v>0</v>
      </c>
      <c r="K194" s="659"/>
      <c r="L194" s="658" cm="1">
        <f t="array" ref="L194">C_T3_SEL_B S_maxi_continu1</f>
        <v>0</v>
      </c>
      <c r="M194" s="659"/>
      <c r="N194" s="658" cm="1">
        <f t="array" ref="N194">C_T3_SEL_B S_take_off1</f>
        <v>0</v>
      </c>
      <c r="O194" s="659"/>
      <c r="P194" s="658" t="str" cm="1">
        <f t="array" ref="P194">IF('RATINGS QUESTION'!$K$5="YES","N/A",C_T3_SEL_B S_maxi_continu2)</f>
        <v>N/A</v>
      </c>
      <c r="Q194" s="660"/>
      <c r="R194" s="659"/>
      <c r="S194" s="658" t="str" cm="1">
        <f t="array" ref="S194">IF('RATINGS QUESTION'!$K$5="YES","N/A",C_T3_SEL_B S_take_off2)</f>
        <v>N/A</v>
      </c>
      <c r="T194" s="660"/>
      <c r="U194" s="143"/>
    </row>
    <row r="195" spans="1:21" ht="12.75" customHeight="1" x14ac:dyDescent="0.2">
      <c r="A195" s="205"/>
      <c r="B195" s="162" t="s">
        <v>372</v>
      </c>
      <c r="C195" s="162" t="s">
        <v>412</v>
      </c>
      <c r="D195" s="162" t="s">
        <v>595</v>
      </c>
      <c r="E195" s="163" t="s">
        <v>331</v>
      </c>
      <c r="F195" s="163"/>
      <c r="G195" s="209"/>
      <c r="H195" s="658" cm="1">
        <f t="array" ref="H195">C_T495_SEL_A S_mini_idle</f>
        <v>0</v>
      </c>
      <c r="I195" s="659"/>
      <c r="J195" s="658" cm="1">
        <f t="array" ref="J195">C_T495_SEL_A S_approach_idle</f>
        <v>0</v>
      </c>
      <c r="K195" s="659"/>
      <c r="L195" s="658" cm="1">
        <f t="array" ref="L195">C_T495_SEL_A S_maxi_continu1</f>
        <v>0</v>
      </c>
      <c r="M195" s="659"/>
      <c r="N195" s="658" cm="1">
        <f t="array" ref="N195">C_T495_SEL_A S_take_off1</f>
        <v>0</v>
      </c>
      <c r="O195" s="659"/>
      <c r="P195" s="658" t="str" cm="1">
        <f t="array" ref="P195">IF('RATINGS QUESTION'!$K$5="YES","N/A",C_T495_SEL_A S_maxi_continu2)</f>
        <v>N/A</v>
      </c>
      <c r="Q195" s="660"/>
      <c r="R195" s="659"/>
      <c r="S195" s="658" t="str" cm="1">
        <f t="array" ref="S195">IF('RATINGS QUESTION'!$K$5="YES","N/A",C_T495_SEL_A S_take_off2)</f>
        <v>N/A</v>
      </c>
      <c r="T195" s="660"/>
      <c r="U195" s="149"/>
    </row>
    <row r="196" spans="1:21" ht="12.75" customHeight="1" x14ac:dyDescent="0.2">
      <c r="A196" s="143"/>
      <c r="B196" s="162" t="s">
        <v>373</v>
      </c>
      <c r="C196" s="162" t="s">
        <v>412</v>
      </c>
      <c r="D196" s="162" t="s">
        <v>595</v>
      </c>
      <c r="E196" s="163" t="s">
        <v>331</v>
      </c>
      <c r="F196" s="163"/>
      <c r="G196" s="160"/>
      <c r="H196" s="658" cm="1">
        <f t="array" ref="H196">C_T495_SEL_B S_mini_idle</f>
        <v>0</v>
      </c>
      <c r="I196" s="659"/>
      <c r="J196" s="658" cm="1">
        <f t="array" ref="J196">C_T495_SEL_B S_approach_idle</f>
        <v>0</v>
      </c>
      <c r="K196" s="659"/>
      <c r="L196" s="658" cm="1">
        <f t="array" ref="L196">C_T495_SEL_B S_maxi_continu1</f>
        <v>0</v>
      </c>
      <c r="M196" s="659"/>
      <c r="N196" s="658" cm="1">
        <f t="array" ref="N196">C_T495_SEL_B S_take_off1</f>
        <v>0</v>
      </c>
      <c r="O196" s="659"/>
      <c r="P196" s="658" t="str" cm="1">
        <f t="array" ref="P196">IF('RATINGS QUESTION'!$K$5="YES","N/A",C_T495_SEL_B S_maxi_continu2)</f>
        <v>N/A</v>
      </c>
      <c r="Q196" s="660"/>
      <c r="R196" s="659"/>
      <c r="S196" s="658" t="str" cm="1">
        <f t="array" ref="S196">IF('RATINGS QUESTION'!$K$5="YES","N/A",C_T495_SEL_B S_take_off2)</f>
        <v>N/A</v>
      </c>
      <c r="T196" s="660"/>
      <c r="U196" s="80"/>
    </row>
    <row r="197" spans="1:21" x14ac:dyDescent="0.2">
      <c r="A197" s="143"/>
      <c r="B197" s="162" t="s">
        <v>372</v>
      </c>
      <c r="C197" s="162" t="s">
        <v>418</v>
      </c>
      <c r="D197" s="162" t="s">
        <v>433</v>
      </c>
      <c r="E197" s="223" t="s">
        <v>331</v>
      </c>
      <c r="F197" s="223"/>
      <c r="G197" s="143"/>
      <c r="H197" s="658" t="e" cm="1">
        <f t="array" ref="H197">IF(C_T54 S_mini_idle&lt;C_T5_SEL_A S_mini_idle,C_T5_SEL_A S_mini_idle,"N/A")</f>
        <v>#REF!</v>
      </c>
      <c r="I197" s="659"/>
      <c r="J197" s="658" t="e" cm="1">
        <f t="array" ref="J197">IF(C_T54 S_approach_idle&lt;C_T5_SEL_A S_approach_idle,C_T5_SEL_A S_approach_idle,"N/A")</f>
        <v>#REF!</v>
      </c>
      <c r="K197" s="659"/>
      <c r="L197" s="658" t="e" cm="1">
        <f t="array" ref="L197">IF(C_T54 S_maxi_continu1&lt;C_T5_SEL_A S_maxi_continu1,C_T5_SEL_A S_maxi_continu1,"N/A")</f>
        <v>#REF!</v>
      </c>
      <c r="M197" s="659"/>
      <c r="N197" s="658" t="e" cm="1">
        <f t="array" ref="N197">IF(C_T54 S_take_off1&lt;C_T5_SEL_A S_take_off1,C_T5_SEL_A S_take_off1,"N/A")</f>
        <v>#REF!</v>
      </c>
      <c r="O197" s="659"/>
      <c r="P197" s="658" t="str" cm="1">
        <f t="array" ref="P197">IF('RATINGS QUESTION'!$K$5="YES","N/A",IF(C_T54 S_maxi_continu2&lt;C_T5_SEL_A S_maxi_continu2,C_T5_SEL_A S_maxi_continu2,"N/A"))</f>
        <v>N/A</v>
      </c>
      <c r="Q197" s="660"/>
      <c r="R197" s="659"/>
      <c r="S197" s="658" t="str" cm="1">
        <f t="array" ref="S197">IF('RATINGS QUESTION'!$K$5="YES","N/A",IF(C_T54 S_take_off2&lt;C_T5_SEL_A S_take_off2,C_T5_SEL_A S_take_off2,"N/A"))</f>
        <v>N/A</v>
      </c>
      <c r="T197" s="660"/>
      <c r="U197" s="143"/>
    </row>
    <row r="198" spans="1:21" x14ac:dyDescent="0.2">
      <c r="A198" s="143"/>
      <c r="B198" s="162" t="s">
        <v>373</v>
      </c>
      <c r="C198" s="162" t="s">
        <v>418</v>
      </c>
      <c r="D198" s="162" t="s">
        <v>433</v>
      </c>
      <c r="E198" s="223" t="s">
        <v>331</v>
      </c>
      <c r="F198" s="223"/>
      <c r="G198" s="143"/>
      <c r="H198" s="658" t="e" cm="1">
        <f t="array" ref="H198">IF(C_T54 S_mini_idle&lt;C_T5_SEL_B S_mini_idle,C_T5_SEL_B S_mini_idle,"N/A")</f>
        <v>#REF!</v>
      </c>
      <c r="I198" s="659"/>
      <c r="J198" s="658" t="e" cm="1">
        <f t="array" ref="J198">IF(C_T54 S_approach_idle&lt;C_T5_SEL_B S_approach_idle,C_T5_SEL_B S_approach_idle,"N/A")</f>
        <v>#REF!</v>
      </c>
      <c r="K198" s="659"/>
      <c r="L198" s="658" t="e" cm="1">
        <f t="array" ref="L198">IF(C_T54 S_maxi_continu1&lt;C_T5_SEL_B S_maxi_continu1,C_T5_SEL_B S_maxi_continu1,"N/A")</f>
        <v>#REF!</v>
      </c>
      <c r="M198" s="659"/>
      <c r="N198" s="658" t="e" cm="1">
        <f t="array" ref="N198">IF(C_T54 S_take_off1&lt;C_T5_SEL_B S_take_off1,C_T5_SEL_B S_take_off1,"N/A")</f>
        <v>#REF!</v>
      </c>
      <c r="O198" s="659"/>
      <c r="P198" s="658" t="str" cm="1">
        <f t="array" ref="P198">IF('RATINGS QUESTION'!$K$5="YES","N/A",IF(C_T54 S_maxi_continu2&lt;C_T5_SEL_B S_maxi_continu2,C_T5_SEL_B S_maxi_continu2,"N/A"))</f>
        <v>N/A</v>
      </c>
      <c r="Q198" s="660"/>
      <c r="R198" s="659"/>
      <c r="S198" s="658" t="str" cm="1">
        <f t="array" ref="S198">IF('RATINGS QUESTION'!$K$5="YES","N/A",IF(C_T54 S_take_off2&lt;C_T5_SEL_B S_take_off2,C_T5_SEL_B S_take_off2,"N/A"))</f>
        <v>N/A</v>
      </c>
      <c r="T198" s="660"/>
      <c r="U198" s="143"/>
    </row>
    <row r="199" spans="1:21" ht="12.75" customHeight="1" x14ac:dyDescent="0.2">
      <c r="A199" s="143"/>
      <c r="B199" s="162" t="s">
        <v>372</v>
      </c>
      <c r="C199" s="162" t="s">
        <v>384</v>
      </c>
      <c r="D199" s="162" t="s">
        <v>596</v>
      </c>
      <c r="E199" s="163" t="s">
        <v>331</v>
      </c>
      <c r="F199" s="163"/>
      <c r="G199" s="143"/>
      <c r="H199" s="658" cm="1">
        <f t="array" ref="H199">C_ECU_TEMP_A S_mini_idle</f>
        <v>0</v>
      </c>
      <c r="I199" s="659"/>
      <c r="J199" s="658" cm="1">
        <f t="array" ref="J199">C_ECU_TEMP_A S_approach_idle</f>
        <v>0</v>
      </c>
      <c r="K199" s="659"/>
      <c r="L199" s="658" cm="1">
        <f t="array" ref="L199">C_ECU_TEMP_A S_maxi_continu1</f>
        <v>0</v>
      </c>
      <c r="M199" s="659"/>
      <c r="N199" s="658" cm="1">
        <f t="array" ref="N199">C_ECU_TEMP_A S_take_off1</f>
        <v>0</v>
      </c>
      <c r="O199" s="659"/>
      <c r="P199" s="658" t="str" cm="1">
        <f t="array" ref="P199">IF('RATINGS QUESTION'!$K$5="YES","N/A",C_ECU_TEMP_A S_maxi_continu2)</f>
        <v>N/A</v>
      </c>
      <c r="Q199" s="660"/>
      <c r="R199" s="659"/>
      <c r="S199" s="658" t="str" cm="1">
        <f t="array" ref="S199">IF('RATINGS QUESTION'!$K$5="YES","N/A",C_ECU_TEMP_A S_take_off2)</f>
        <v>N/A</v>
      </c>
      <c r="T199" s="660"/>
      <c r="U199" s="149"/>
    </row>
    <row r="200" spans="1:21" ht="12.75" customHeight="1" x14ac:dyDescent="0.2">
      <c r="A200" s="143"/>
      <c r="B200" s="162" t="s">
        <v>373</v>
      </c>
      <c r="C200" s="162" t="s">
        <v>385</v>
      </c>
      <c r="D200" s="162" t="s">
        <v>596</v>
      </c>
      <c r="E200" s="163" t="s">
        <v>331</v>
      </c>
      <c r="F200" s="163"/>
      <c r="G200" s="143"/>
      <c r="H200" s="658" cm="1">
        <f t="array" ref="H200">C_ECU_TEMP_B S_mini_idle</f>
        <v>0</v>
      </c>
      <c r="I200" s="659"/>
      <c r="J200" s="658" cm="1">
        <f t="array" ref="J200">C_ECU_TEMP_B S_approach_idle</f>
        <v>0</v>
      </c>
      <c r="K200" s="659"/>
      <c r="L200" s="658" cm="1">
        <f t="array" ref="L200">C_ECU_TEMP_B S_maxi_continu1</f>
        <v>0</v>
      </c>
      <c r="M200" s="659"/>
      <c r="N200" s="658" cm="1">
        <f t="array" ref="N200">C_ECU_TEMP_B S_take_off1</f>
        <v>0</v>
      </c>
      <c r="O200" s="659"/>
      <c r="P200" s="658" t="str" cm="1">
        <f t="array" ref="P200">IF('RATINGS QUESTION'!$K$5="YES","N/A",C_ECU_TEMP_B S_maxi_continu2)</f>
        <v>N/A</v>
      </c>
      <c r="Q200" s="660"/>
      <c r="R200" s="659"/>
      <c r="S200" s="658" t="str" cm="1">
        <f t="array" ref="S200">IF('RATINGS QUESTION'!$K$5="YES","N/A",C_ECU_TEMP_B S_take_off2)</f>
        <v>N/A</v>
      </c>
      <c r="T200" s="660"/>
      <c r="U200" s="149"/>
    </row>
    <row r="201" spans="1:21" ht="12.75" customHeight="1" x14ac:dyDescent="0.2">
      <c r="A201" s="143"/>
      <c r="B201" s="162" t="s">
        <v>372</v>
      </c>
      <c r="C201" s="162" t="s">
        <v>386</v>
      </c>
      <c r="D201" s="162" t="s">
        <v>598</v>
      </c>
      <c r="E201" s="163" t="s">
        <v>367</v>
      </c>
      <c r="F201" s="163"/>
      <c r="G201" s="143"/>
      <c r="H201" s="633" cm="1">
        <f t="array" ref="H201">C_P0_SEL_A S_mini_idle</f>
        <v>0</v>
      </c>
      <c r="I201" s="635"/>
      <c r="J201" s="633" cm="1">
        <f t="array" ref="J201">C_P0_SEL_A S_approach_idle</f>
        <v>0</v>
      </c>
      <c r="K201" s="635"/>
      <c r="L201" s="633" cm="1">
        <f t="array" ref="L201">C_P0_SEL_A S_maxi_continu1</f>
        <v>0</v>
      </c>
      <c r="M201" s="635"/>
      <c r="N201" s="633" cm="1">
        <f t="array" ref="N201">C_P0_SEL_A S_take_off1</f>
        <v>0</v>
      </c>
      <c r="O201" s="635"/>
      <c r="P201" s="633" t="str" cm="1">
        <f t="array" ref="P201">IF('RATINGS QUESTION'!$K$5="YES","N/A",C_P0_SEL_A S_maxi_continu2)</f>
        <v>N/A</v>
      </c>
      <c r="Q201" s="634"/>
      <c r="R201" s="635"/>
      <c r="S201" s="633" t="str" cm="1">
        <f t="array" ref="S201">IF('RATINGS QUESTION'!$K$5="YES","N/A",C_P0_SEL_A S_take_off2)</f>
        <v>N/A</v>
      </c>
      <c r="T201" s="634"/>
      <c r="U201" s="149"/>
    </row>
    <row r="202" spans="1:21" ht="12.75" customHeight="1" x14ac:dyDescent="0.2">
      <c r="A202" s="143"/>
      <c r="B202" s="162" t="s">
        <v>373</v>
      </c>
      <c r="C202" s="162" t="s">
        <v>387</v>
      </c>
      <c r="D202" s="162" t="s">
        <v>598</v>
      </c>
      <c r="E202" s="163" t="s">
        <v>367</v>
      </c>
      <c r="F202" s="163"/>
      <c r="G202" s="143"/>
      <c r="H202" s="633" cm="1">
        <f t="array" ref="H202">C_P0_SEL_B S_mini_idle</f>
        <v>0</v>
      </c>
      <c r="I202" s="635"/>
      <c r="J202" s="633" cm="1">
        <f t="array" ref="J202">C_P0_SEL_B S_approach_idle</f>
        <v>0</v>
      </c>
      <c r="K202" s="635"/>
      <c r="L202" s="633" cm="1">
        <f t="array" ref="L202">C_P0_SEL_B S_maxi_continu1</f>
        <v>0</v>
      </c>
      <c r="M202" s="635"/>
      <c r="N202" s="633" cm="1">
        <f t="array" ref="N202">C_P0_SEL_B S_take_off1</f>
        <v>0</v>
      </c>
      <c r="O202" s="635"/>
      <c r="P202" s="633" t="str" cm="1">
        <f t="array" ref="P202">IF('RATINGS QUESTION'!$K$5="YES","N/A",C_P0_SEL_B S_maxi_continu2)</f>
        <v>N/A</v>
      </c>
      <c r="Q202" s="634"/>
      <c r="R202" s="635"/>
      <c r="S202" s="633" t="str" cm="1">
        <f t="array" ref="S202">IF('RATINGS QUESTION'!$K$5="YES","N/A",C_P0_SEL_B S_take_off2)</f>
        <v>N/A</v>
      </c>
      <c r="T202" s="634"/>
      <c r="U202" s="149"/>
    </row>
    <row r="203" spans="1:21" ht="12.75" customHeight="1" x14ac:dyDescent="0.2">
      <c r="A203" s="143"/>
      <c r="B203" s="162" t="s">
        <v>372</v>
      </c>
      <c r="C203" s="162" t="s">
        <v>434</v>
      </c>
      <c r="D203" s="162" t="s">
        <v>382</v>
      </c>
      <c r="E203" s="235" t="s">
        <v>367</v>
      </c>
      <c r="F203" s="163"/>
      <c r="G203" s="143"/>
      <c r="H203" s="633" cm="1">
        <f t="array" ref="H203">C_PS12_A S_mini_idle</f>
        <v>0</v>
      </c>
      <c r="I203" s="635"/>
      <c r="J203" s="633" cm="1">
        <f t="array" ref="J203">C_PS12_A S_approach_idle</f>
        <v>0</v>
      </c>
      <c r="K203" s="635"/>
      <c r="L203" s="633" cm="1">
        <f t="array" ref="L203">C_PS12_A S_maxi_continu1</f>
        <v>0</v>
      </c>
      <c r="M203" s="635"/>
      <c r="N203" s="633" cm="1">
        <f t="array" ref="N203">C_PS12_A S_take_off1</f>
        <v>0</v>
      </c>
      <c r="O203" s="635"/>
      <c r="P203" s="633" t="str" cm="1">
        <f t="array" ref="P203">IF('RATINGS QUESTION'!$K$5="YES","N/A",C_PS12_A S_maxi_continu2)</f>
        <v>N/A</v>
      </c>
      <c r="Q203" s="634"/>
      <c r="R203" s="635"/>
      <c r="S203" s="633" t="str" cm="1">
        <f t="array" ref="S203">IF('RATINGS QUESTION'!$K$5="YES","N/A",C_PS12_A S_take_off2)</f>
        <v>N/A</v>
      </c>
      <c r="T203" s="634"/>
      <c r="U203" s="149"/>
    </row>
    <row r="204" spans="1:21" ht="12.75" customHeight="1" x14ac:dyDescent="0.2">
      <c r="A204" s="143"/>
      <c r="B204" s="162" t="s">
        <v>373</v>
      </c>
      <c r="C204" s="162" t="s">
        <v>434</v>
      </c>
      <c r="D204" s="162" t="s">
        <v>382</v>
      </c>
      <c r="E204" s="235" t="s">
        <v>367</v>
      </c>
      <c r="F204" s="163"/>
      <c r="G204" s="143"/>
      <c r="H204" s="633" cm="1">
        <f t="array" ref="H204">C_PS12_B S_mini_idle</f>
        <v>0</v>
      </c>
      <c r="I204" s="635"/>
      <c r="J204" s="633" cm="1">
        <f t="array" ref="J204">C_PS12_B S_approach_idle</f>
        <v>0</v>
      </c>
      <c r="K204" s="635"/>
      <c r="L204" s="633" cm="1">
        <f t="array" ref="L204">C_PS12_B S_maxi_continu1</f>
        <v>0</v>
      </c>
      <c r="M204" s="635"/>
      <c r="N204" s="633" cm="1">
        <f t="array" ref="N204">C_PS12_B S_take_off1</f>
        <v>0</v>
      </c>
      <c r="O204" s="635"/>
      <c r="P204" s="633" t="str" cm="1">
        <f t="array" ref="P204">IF('RATINGS QUESTION'!$K$5="YES","N/A",C_PS12_B S_maxi_continu2)</f>
        <v>N/A</v>
      </c>
      <c r="Q204" s="634"/>
      <c r="R204" s="635"/>
      <c r="S204" s="633" t="str" cm="1">
        <f t="array" ref="S204">IF('RATINGS QUESTION'!$K$5="YES","N/A",C_PS12_B S_take_off2)</f>
        <v>N/A</v>
      </c>
      <c r="T204" s="634"/>
      <c r="U204" s="149"/>
    </row>
    <row r="205" spans="1:21" ht="12.75" customHeight="1" x14ac:dyDescent="0.2">
      <c r="A205" s="143"/>
      <c r="B205" s="162" t="s">
        <v>372</v>
      </c>
      <c r="C205" s="162" t="s">
        <v>388</v>
      </c>
      <c r="D205" s="162" t="s">
        <v>435</v>
      </c>
      <c r="E205" s="163" t="s">
        <v>367</v>
      </c>
      <c r="F205" s="163"/>
      <c r="G205" s="143"/>
      <c r="H205" s="633" t="s">
        <v>1</v>
      </c>
      <c r="I205" s="635"/>
      <c r="J205" s="633" t="s">
        <v>1</v>
      </c>
      <c r="K205" s="635"/>
      <c r="L205" s="633" cm="1">
        <f t="array" ref="L205">C_PT2_ECU_A S_maxi_continu1</f>
        <v>0</v>
      </c>
      <c r="M205" s="635"/>
      <c r="N205" s="633" cm="1">
        <f t="array" ref="N205">C_PT2_ECU_A S_take_off1</f>
        <v>0</v>
      </c>
      <c r="O205" s="635"/>
      <c r="P205" s="633" t="str" cm="1">
        <f t="array" ref="P205">IF('RATINGS QUESTION'!$K$5="YES","N/A",C_PT2_ECU_A S_maxi_continu2)</f>
        <v>N/A</v>
      </c>
      <c r="Q205" s="634"/>
      <c r="R205" s="635"/>
      <c r="S205" s="633" t="str" cm="1">
        <f t="array" ref="S205">IF('RATINGS QUESTION'!$K$5="YES","N/A",C_PT2_ECU_A S_take_off2)</f>
        <v>N/A</v>
      </c>
      <c r="T205" s="634"/>
      <c r="U205" s="149"/>
    </row>
    <row r="206" spans="1:21" ht="12.75" customHeight="1" x14ac:dyDescent="0.2">
      <c r="A206" s="143"/>
      <c r="B206" s="162" t="s">
        <v>373</v>
      </c>
      <c r="C206" s="162" t="s">
        <v>388</v>
      </c>
      <c r="D206" s="162" t="s">
        <v>435</v>
      </c>
      <c r="E206" s="163" t="s">
        <v>367</v>
      </c>
      <c r="F206" s="163"/>
      <c r="G206" s="143"/>
      <c r="H206" s="633" t="s">
        <v>1</v>
      </c>
      <c r="I206" s="635"/>
      <c r="J206" s="633" t="s">
        <v>1</v>
      </c>
      <c r="K206" s="635"/>
      <c r="L206" s="633" cm="1">
        <f t="array" ref="L206">C_PT2_ECU_B S_maxi_continu1</f>
        <v>0</v>
      </c>
      <c r="M206" s="635"/>
      <c r="N206" s="633" cm="1">
        <f t="array" ref="N206">C_PT2_ECU_B S_take_off1</f>
        <v>0</v>
      </c>
      <c r="O206" s="635"/>
      <c r="P206" s="633" t="str" cm="1">
        <f t="array" ref="P206">IF('RATINGS QUESTION'!$K$5="YES","N/A",C_PT2_ECU_B S_maxi_continu2)</f>
        <v>N/A</v>
      </c>
      <c r="Q206" s="634"/>
      <c r="R206" s="635"/>
      <c r="S206" s="633" t="str" cm="1">
        <f t="array" ref="S206">IF('RATINGS QUESTION'!$K$5="YES","N/A",C_PT2_ECU_B S_take_off2)</f>
        <v>N/A</v>
      </c>
      <c r="T206" s="634"/>
      <c r="U206" s="149"/>
    </row>
    <row r="207" spans="1:21" ht="12.75" customHeight="1" x14ac:dyDescent="0.2">
      <c r="A207" s="143"/>
      <c r="B207" s="162" t="s">
        <v>372</v>
      </c>
      <c r="C207" s="162" t="s">
        <v>389</v>
      </c>
      <c r="D207" s="162" t="s">
        <v>436</v>
      </c>
      <c r="E207" s="163" t="s">
        <v>367</v>
      </c>
      <c r="F207" s="163"/>
      <c r="G207" s="143"/>
      <c r="H207" s="633" cm="1">
        <f t="array" ref="H207">C_PS3_SEL_A S_mini_idle</f>
        <v>0</v>
      </c>
      <c r="I207" s="635"/>
      <c r="J207" s="633" cm="1">
        <f t="array" ref="J207">C_PS3_SEL_A S_approach_idle</f>
        <v>0</v>
      </c>
      <c r="K207" s="635"/>
      <c r="L207" s="633" cm="1">
        <f t="array" ref="L207">C_PS3_SEL_A S_maxi_continu1</f>
        <v>0</v>
      </c>
      <c r="M207" s="635"/>
      <c r="N207" s="633" cm="1">
        <f t="array" ref="N207">C_PS3_SEL_A S_take_off1</f>
        <v>0</v>
      </c>
      <c r="O207" s="635"/>
      <c r="P207" s="633" t="str" cm="1">
        <f t="array" ref="P207">IF('RATINGS QUESTION'!$K$5="YES","N/A",C_PS3_SEL_A S_maxi_continu2)</f>
        <v>N/A</v>
      </c>
      <c r="Q207" s="634"/>
      <c r="R207" s="635"/>
      <c r="S207" s="633" t="str" cm="1">
        <f t="array" ref="S207">IF('RATINGS QUESTION'!$K$5="YES","N/A",C_PS3_SEL_A S_take_off2)</f>
        <v>N/A</v>
      </c>
      <c r="T207" s="634"/>
      <c r="U207" s="149"/>
    </row>
    <row r="208" spans="1:21" ht="12.75" customHeight="1" x14ac:dyDescent="0.2">
      <c r="A208" s="143"/>
      <c r="B208" s="162" t="s">
        <v>373</v>
      </c>
      <c r="C208" s="162" t="s">
        <v>390</v>
      </c>
      <c r="D208" s="162" t="s">
        <v>436</v>
      </c>
      <c r="E208" s="163" t="s">
        <v>367</v>
      </c>
      <c r="F208" s="163"/>
      <c r="G208" s="143"/>
      <c r="H208" s="633" cm="1">
        <f t="array" ref="H208">C_PS3_SEL_B S_mini_idle</f>
        <v>0</v>
      </c>
      <c r="I208" s="635"/>
      <c r="J208" s="633" cm="1">
        <f t="array" ref="J208">C_PS3_SEL_B S_approach_idle</f>
        <v>0</v>
      </c>
      <c r="K208" s="635"/>
      <c r="L208" s="633" cm="1">
        <f t="array" ref="L208">C_PS3_SEL_B S_maxi_continu1</f>
        <v>0</v>
      </c>
      <c r="M208" s="635"/>
      <c r="N208" s="633" cm="1">
        <f t="array" ref="N208">C_PS3_SEL_B S_take_off1</f>
        <v>0</v>
      </c>
      <c r="O208" s="635"/>
      <c r="P208" s="633" t="str" cm="1">
        <f t="array" ref="P208">IF('RATINGS QUESTION'!$K$5="YES","N/A",C_PS3_SEL_B S_maxi_continu2)</f>
        <v>N/A</v>
      </c>
      <c r="Q208" s="634"/>
      <c r="R208" s="635"/>
      <c r="S208" s="633" t="str" cm="1">
        <f t="array" ref="S208">IF('RATINGS QUESTION'!$K$5="YES","N/A",C_PS3_SEL_B S_take_off2)</f>
        <v>N/A</v>
      </c>
      <c r="T208" s="634"/>
      <c r="U208" s="149"/>
    </row>
    <row r="209" spans="1:21" ht="12.75" customHeight="1" x14ac:dyDescent="0.2">
      <c r="A209" s="143"/>
      <c r="B209" s="162" t="s">
        <v>372</v>
      </c>
      <c r="C209" s="162" t="s">
        <v>391</v>
      </c>
      <c r="D209" s="162" t="s">
        <v>437</v>
      </c>
      <c r="E209" s="235" t="s">
        <v>438</v>
      </c>
      <c r="F209" s="163"/>
      <c r="G209" s="143"/>
      <c r="H209" s="645" cm="1">
        <f t="array" ref="H209">C_VSV_SEL_A S_mini_idle</f>
        <v>0</v>
      </c>
      <c r="I209" s="646"/>
      <c r="J209" s="645" cm="1">
        <f t="array" ref="J209">C_VSV_SEL_A S_approach_idle</f>
        <v>0</v>
      </c>
      <c r="K209" s="646"/>
      <c r="L209" s="645" cm="1">
        <f t="array" ref="L209">C_VSV_SEL_A S_maxi_continu1</f>
        <v>0</v>
      </c>
      <c r="M209" s="646"/>
      <c r="N209" s="645" cm="1">
        <f t="array" ref="N209">C_VSV_SEL_A S_take_off1</f>
        <v>0</v>
      </c>
      <c r="O209" s="646"/>
      <c r="P209" s="645" t="str" cm="1">
        <f t="array" ref="P209">IF('RATINGS QUESTION'!$K$5="YES","N/A",C_VSV_SEL_A S_maxi_continu2)</f>
        <v>N/A</v>
      </c>
      <c r="Q209" s="648"/>
      <c r="R209" s="646"/>
      <c r="S209" s="645" t="str" cm="1">
        <f t="array" ref="S209">IF('RATINGS QUESTION'!$K$5="YES","N/A",C_VSV_SEL_A S_take_off2)</f>
        <v>N/A</v>
      </c>
      <c r="T209" s="648"/>
      <c r="U209" s="149"/>
    </row>
    <row r="210" spans="1:21" ht="12.75" customHeight="1" x14ac:dyDescent="0.2">
      <c r="A210" s="143"/>
      <c r="B210" s="162" t="s">
        <v>373</v>
      </c>
      <c r="C210" s="162" t="s">
        <v>392</v>
      </c>
      <c r="D210" s="162" t="s">
        <v>437</v>
      </c>
      <c r="E210" s="235" t="s">
        <v>438</v>
      </c>
      <c r="F210" s="163"/>
      <c r="G210" s="143"/>
      <c r="H210" s="645" cm="1">
        <f t="array" ref="H210">C_VSV_SEL_B S_mini_idle</f>
        <v>0</v>
      </c>
      <c r="I210" s="646"/>
      <c r="J210" s="645" cm="1">
        <f t="array" ref="J210">C_VSV_SEL_B S_approach_idle</f>
        <v>0</v>
      </c>
      <c r="K210" s="646"/>
      <c r="L210" s="645" cm="1">
        <f t="array" ref="L210">C_VSV_SEL_B S_maxi_continu1</f>
        <v>0</v>
      </c>
      <c r="M210" s="646"/>
      <c r="N210" s="645" cm="1">
        <f t="array" ref="N210">C_VSV_SEL_B S_take_off1</f>
        <v>0</v>
      </c>
      <c r="O210" s="646"/>
      <c r="P210" s="645" t="str" cm="1">
        <f t="array" ref="P210">IF('RATINGS QUESTION'!$K$5="YES","N/A",C_VSV_SEL_B S_maxi_continu2)</f>
        <v>N/A</v>
      </c>
      <c r="Q210" s="648"/>
      <c r="R210" s="646"/>
      <c r="S210" s="645" t="str" cm="1">
        <f t="array" ref="S210">IF('RATINGS QUESTION'!$K$5="YES","N/A",C_VSV_SEL_B S_take_off2)</f>
        <v>N/A</v>
      </c>
      <c r="T210" s="648"/>
      <c r="U210" s="149"/>
    </row>
    <row r="211" spans="1:21" ht="12.75" customHeight="1" x14ac:dyDescent="0.2">
      <c r="A211" s="143"/>
      <c r="B211" s="162" t="s">
        <v>372</v>
      </c>
      <c r="C211" s="162" t="s">
        <v>393</v>
      </c>
      <c r="D211" s="162" t="s">
        <v>394</v>
      </c>
      <c r="E211" s="236" t="s">
        <v>438</v>
      </c>
      <c r="F211" s="163"/>
      <c r="G211" s="143"/>
      <c r="H211" s="645" cm="1">
        <f t="array" ref="H211">C_VSV_DMD_DEG_A S_mini_idle</f>
        <v>0</v>
      </c>
      <c r="I211" s="646"/>
      <c r="J211" s="645" cm="1">
        <f t="array" ref="J211">C_VSV_DMD_DEG_A S_approach_idle</f>
        <v>0</v>
      </c>
      <c r="K211" s="646"/>
      <c r="L211" s="645" cm="1">
        <f t="array" ref="L211">C_VSV_DMD_DEG_A S_maxi_continu1</f>
        <v>0</v>
      </c>
      <c r="M211" s="646"/>
      <c r="N211" s="645" cm="1">
        <f t="array" ref="N211">C_VSV_DMD_DEG_A S_take_off1</f>
        <v>0</v>
      </c>
      <c r="O211" s="646"/>
      <c r="P211" s="645" t="str" cm="1">
        <f t="array" ref="P211">IF('RATINGS QUESTION'!$K$5="YES","N/A",C_VSV_DMD_DEG_A S_maxi_continu2)</f>
        <v>N/A</v>
      </c>
      <c r="Q211" s="648"/>
      <c r="R211" s="646"/>
      <c r="S211" s="645" t="str" cm="1">
        <f t="array" ref="S211">IF('RATINGS QUESTION'!$K$5="YES","N/A",C_VSV_DMD_DEG_A S_take_off2)</f>
        <v>N/A</v>
      </c>
      <c r="T211" s="648"/>
      <c r="U211" s="149"/>
    </row>
    <row r="212" spans="1:21" ht="12.75" customHeight="1" x14ac:dyDescent="0.2">
      <c r="A212" s="143"/>
      <c r="B212" s="162" t="s">
        <v>373</v>
      </c>
      <c r="C212" s="162" t="s">
        <v>393</v>
      </c>
      <c r="D212" s="162" t="s">
        <v>394</v>
      </c>
      <c r="E212" s="236" t="s">
        <v>438</v>
      </c>
      <c r="F212" s="163"/>
      <c r="G212" s="143"/>
      <c r="H212" s="645" cm="1">
        <f t="array" ref="H212">C_VSV_DMD_DEG_B S_mini_idle</f>
        <v>0</v>
      </c>
      <c r="I212" s="646"/>
      <c r="J212" s="645" cm="1">
        <f t="array" ref="J212">C_VSV_DMD_DEG_B S_approach_idle</f>
        <v>0</v>
      </c>
      <c r="K212" s="646"/>
      <c r="L212" s="645" cm="1">
        <f t="array" ref="L212">C_VSV_DMD_DEG_B S_maxi_continu1</f>
        <v>0</v>
      </c>
      <c r="M212" s="646"/>
      <c r="N212" s="645" cm="1">
        <f t="array" ref="N212">C_VSV_DMD_DEG_B S_take_off1</f>
        <v>0</v>
      </c>
      <c r="O212" s="646"/>
      <c r="P212" s="645" t="str" cm="1">
        <f t="array" ref="P212">IF('RATINGS QUESTION'!$K$5="YES","N/A",C_VSV_DMD_DEG_B S_maxi_continu2)</f>
        <v>N/A</v>
      </c>
      <c r="Q212" s="648"/>
      <c r="R212" s="646"/>
      <c r="S212" s="645" t="str" cm="1">
        <f t="array" ref="S212">IF('RATINGS QUESTION'!$K$5="YES","N/A",C_VSV_DMD_DEG_B S_take_off2)</f>
        <v>N/A</v>
      </c>
      <c r="T212" s="648"/>
      <c r="U212" s="149"/>
    </row>
    <row r="213" spans="1:21" ht="12.75" customHeight="1" x14ac:dyDescent="0.2">
      <c r="A213" s="143"/>
      <c r="B213" s="162" t="s">
        <v>372</v>
      </c>
      <c r="C213" s="162" t="s">
        <v>395</v>
      </c>
      <c r="D213" s="162" t="s">
        <v>439</v>
      </c>
      <c r="E213" s="235" t="s">
        <v>438</v>
      </c>
      <c r="F213" s="163"/>
      <c r="G213" s="143"/>
      <c r="H213" s="645" cm="1">
        <f t="array" ref="H213">C_VBV_SEL_A S_mini_idle</f>
        <v>0</v>
      </c>
      <c r="I213" s="646"/>
      <c r="J213" s="645" cm="1">
        <f t="array" ref="J213">C_VBV_SEL_A S_approach_idle</f>
        <v>0</v>
      </c>
      <c r="K213" s="646"/>
      <c r="L213" s="645" cm="1">
        <f t="array" ref="L213">C_VBV_SEL_A S_maxi_continu1</f>
        <v>0</v>
      </c>
      <c r="M213" s="646"/>
      <c r="N213" s="645" cm="1">
        <f t="array" ref="N213">C_VBV_SEL_A S_take_off1</f>
        <v>0</v>
      </c>
      <c r="O213" s="646"/>
      <c r="P213" s="645" t="str" cm="1">
        <f t="array" ref="P213">IF('RATINGS QUESTION'!$K$5="YES","N/A",C_VBV_SEL_A S_maxi_continu2)</f>
        <v>N/A</v>
      </c>
      <c r="Q213" s="648"/>
      <c r="R213" s="646"/>
      <c r="S213" s="645" t="str" cm="1">
        <f t="array" ref="S213">IF('RATINGS QUESTION'!$K$5="YES","N/A",C_VBV_SEL_A S_take_off2)</f>
        <v>N/A</v>
      </c>
      <c r="T213" s="648"/>
      <c r="U213" s="149"/>
    </row>
    <row r="214" spans="1:21" ht="12.75" customHeight="1" x14ac:dyDescent="0.2">
      <c r="A214" s="143"/>
      <c r="B214" s="162" t="s">
        <v>373</v>
      </c>
      <c r="C214" s="162" t="s">
        <v>396</v>
      </c>
      <c r="D214" s="162" t="s">
        <v>439</v>
      </c>
      <c r="E214" s="235" t="s">
        <v>438</v>
      </c>
      <c r="F214" s="163"/>
      <c r="G214" s="143"/>
      <c r="H214" s="645" cm="1">
        <f t="array" ref="H214">C_VBV_SEL_B S_mini_idle</f>
        <v>0</v>
      </c>
      <c r="I214" s="646"/>
      <c r="J214" s="645" cm="1">
        <f t="array" ref="J214">C_VBV_SEL_B S_approach_idle</f>
        <v>0</v>
      </c>
      <c r="K214" s="646"/>
      <c r="L214" s="645" cm="1">
        <f t="array" ref="L214">C_VBV_SEL_B S_maxi_continu1</f>
        <v>0</v>
      </c>
      <c r="M214" s="646"/>
      <c r="N214" s="645" cm="1">
        <f t="array" ref="N214">C_VBV_SEL_B S_take_off1</f>
        <v>0</v>
      </c>
      <c r="O214" s="646"/>
      <c r="P214" s="645" t="str" cm="1">
        <f t="array" ref="P214">IF('RATINGS QUESTION'!$K$5="YES","N/A",C_VBV_SEL_B S_maxi_continu2)</f>
        <v>N/A</v>
      </c>
      <c r="Q214" s="648"/>
      <c r="R214" s="646"/>
      <c r="S214" s="645" t="str" cm="1">
        <f t="array" ref="S214">IF('RATINGS QUESTION'!$K$5="YES","N/A",C_VBV_SEL_B S_take_off2)</f>
        <v>N/A</v>
      </c>
      <c r="T214" s="648"/>
      <c r="U214" s="149"/>
    </row>
    <row r="215" spans="1:21" ht="12.75" customHeight="1" x14ac:dyDescent="0.2">
      <c r="A215" s="143"/>
      <c r="B215" s="162" t="s">
        <v>372</v>
      </c>
      <c r="C215" s="162" t="s">
        <v>397</v>
      </c>
      <c r="D215" s="162" t="s">
        <v>398</v>
      </c>
      <c r="E215" s="235" t="s">
        <v>438</v>
      </c>
      <c r="F215" s="163"/>
      <c r="G215" s="143"/>
      <c r="H215" s="645" cm="1">
        <f t="array" ref="H215">C_VBV_DMD_A S_mini_idle</f>
        <v>0</v>
      </c>
      <c r="I215" s="646"/>
      <c r="J215" s="645" cm="1">
        <f t="array" ref="J215">C_VBV_DMD_A S_approach_idle</f>
        <v>0</v>
      </c>
      <c r="K215" s="646"/>
      <c r="L215" s="645" cm="1">
        <f t="array" ref="L215">C_VBV_DMD_A S_maxi_continu1</f>
        <v>0</v>
      </c>
      <c r="M215" s="646"/>
      <c r="N215" s="645" cm="1">
        <f t="array" ref="N215">C_VBV_DMD_A S_take_off1</f>
        <v>0</v>
      </c>
      <c r="O215" s="646"/>
      <c r="P215" s="645" t="str" cm="1">
        <f t="array" ref="P215">IF('RATINGS QUESTION'!$K$5="YES","N/A",C_VBV_DMD_A S_maxi_continu2)</f>
        <v>N/A</v>
      </c>
      <c r="Q215" s="648"/>
      <c r="R215" s="646"/>
      <c r="S215" s="645" t="str" cm="1">
        <f t="array" ref="S215">IF('RATINGS QUESTION'!$K$5="YES","N/A",C_VBV_DMD_A S_take_off2)</f>
        <v>N/A</v>
      </c>
      <c r="T215" s="648"/>
      <c r="U215" s="149"/>
    </row>
    <row r="216" spans="1:21" ht="12.75" customHeight="1" x14ac:dyDescent="0.2">
      <c r="A216" s="143"/>
      <c r="B216" s="162" t="s">
        <v>373</v>
      </c>
      <c r="C216" s="162" t="s">
        <v>399</v>
      </c>
      <c r="D216" s="162" t="s">
        <v>398</v>
      </c>
      <c r="E216" s="235" t="s">
        <v>438</v>
      </c>
      <c r="F216" s="163"/>
      <c r="G216" s="143"/>
      <c r="H216" s="645" cm="1">
        <f t="array" ref="H216">C_VBV_DMD_B S_mini_idle</f>
        <v>0</v>
      </c>
      <c r="I216" s="646"/>
      <c r="J216" s="645" cm="1">
        <f t="array" ref="J216">C_VBV_DMD_B S_approach_idle</f>
        <v>0</v>
      </c>
      <c r="K216" s="646"/>
      <c r="L216" s="645" cm="1">
        <f t="array" ref="L216">C_VBV_DMD_B S_maxi_continu1</f>
        <v>0</v>
      </c>
      <c r="M216" s="646"/>
      <c r="N216" s="645" cm="1">
        <f t="array" ref="N216">C_VBV_DMD_B S_take_off1</f>
        <v>0</v>
      </c>
      <c r="O216" s="646"/>
      <c r="P216" s="645" t="str" cm="1">
        <f t="array" ref="P216">IF('RATINGS QUESTION'!$K$5="YES","N/A",C_VBV_DMD_B S_maxi_continu2)</f>
        <v>N/A</v>
      </c>
      <c r="Q216" s="648"/>
      <c r="R216" s="646"/>
      <c r="S216" s="645" t="str" cm="1">
        <f t="array" ref="S216">IF('RATINGS QUESTION'!$K$5="YES","N/A",C_VBV_DMD_B S_take_off2)</f>
        <v>N/A</v>
      </c>
      <c r="T216" s="648"/>
      <c r="U216" s="149"/>
    </row>
    <row r="217" spans="1:21" x14ac:dyDescent="0.2">
      <c r="A217" s="143"/>
      <c r="B217" s="162" t="s">
        <v>372</v>
      </c>
      <c r="C217" s="162" t="s">
        <v>599</v>
      </c>
      <c r="D217" s="162" t="s">
        <v>604</v>
      </c>
      <c r="E217" s="163" t="s">
        <v>3</v>
      </c>
      <c r="F217" s="163"/>
      <c r="G217" s="143"/>
      <c r="H217" s="645" t="e" cm="1">
        <f t="array" ref="H217">C_HPTC_SEL_A S_mini_idle</f>
        <v>#REF!</v>
      </c>
      <c r="I217" s="646"/>
      <c r="J217" s="645" t="e" cm="1">
        <f t="array" ref="J217">C_HPTC_SEL_A S_approach_idle</f>
        <v>#REF!</v>
      </c>
      <c r="K217" s="646"/>
      <c r="L217" s="645" t="e" cm="1">
        <f t="array" ref="L217">C_HPTC_SEL_A S_maxi_continu1</f>
        <v>#REF!</v>
      </c>
      <c r="M217" s="646"/>
      <c r="N217" s="645" t="e" cm="1">
        <f t="array" ref="N217">C_HPTC_SEL_A S_take_off1</f>
        <v>#REF!</v>
      </c>
      <c r="O217" s="646"/>
      <c r="P217" s="645" t="str" cm="1">
        <f t="array" ref="P217">IF('RATINGS QUESTION'!$K$5="YES","N/A",C_HPTC_SEL_A S_maxi_continu2)</f>
        <v>N/A</v>
      </c>
      <c r="Q217" s="648"/>
      <c r="R217" s="646"/>
      <c r="S217" s="645" t="str" cm="1">
        <f t="array" ref="S217">IF('RATINGS QUESTION'!$K$5="YES","N/A",C_HPTC_SEL_A S_take_off2)</f>
        <v>N/A</v>
      </c>
      <c r="T217" s="648"/>
      <c r="U217" s="143"/>
    </row>
    <row r="218" spans="1:21" x14ac:dyDescent="0.2">
      <c r="A218" s="143"/>
      <c r="B218" s="162" t="s">
        <v>373</v>
      </c>
      <c r="C218" s="162" t="s">
        <v>599</v>
      </c>
      <c r="D218" s="162" t="s">
        <v>604</v>
      </c>
      <c r="E218" s="163" t="s">
        <v>3</v>
      </c>
      <c r="F218" s="163"/>
      <c r="G218" s="143"/>
      <c r="H218" s="645" t="e" cm="1">
        <f t="array" ref="H218">C_HPTC_SEL_B S_mini_idle</f>
        <v>#REF!</v>
      </c>
      <c r="I218" s="646"/>
      <c r="J218" s="645" t="e" cm="1">
        <f t="array" ref="J218">C_HPTC_SEL_B S_approach_idle</f>
        <v>#REF!</v>
      </c>
      <c r="K218" s="646"/>
      <c r="L218" s="645" t="e" cm="1">
        <f t="array" ref="L218">C_HPTC_SEL_B S_maxi_continu1</f>
        <v>#REF!</v>
      </c>
      <c r="M218" s="646"/>
      <c r="N218" s="645" t="e" cm="1">
        <f t="array" ref="N218">C_HPTC_SEL_B S_take_off1</f>
        <v>#REF!</v>
      </c>
      <c r="O218" s="646"/>
      <c r="P218" s="645" t="str" cm="1">
        <f t="array" ref="P218">IF('RATINGS QUESTION'!$K$5="YES","N/A",C_HPTC_SEL_B S_maxi_continu2)</f>
        <v>N/A</v>
      </c>
      <c r="Q218" s="648"/>
      <c r="R218" s="646"/>
      <c r="S218" s="645" t="str" cm="1">
        <f t="array" ref="S218">IF('RATINGS QUESTION'!$K$5="YES","N/A",C_HPTC_SEL_B S_take_off2)</f>
        <v>N/A</v>
      </c>
      <c r="T218" s="648"/>
      <c r="U218" s="143"/>
    </row>
    <row r="219" spans="1:21" x14ac:dyDescent="0.2">
      <c r="A219" s="143"/>
      <c r="B219" s="162" t="s">
        <v>372</v>
      </c>
      <c r="C219" s="162" t="s">
        <v>600</v>
      </c>
      <c r="D219" s="162" t="s">
        <v>400</v>
      </c>
      <c r="E219" s="163" t="s">
        <v>3</v>
      </c>
      <c r="F219" s="163"/>
      <c r="G219" s="143"/>
      <c r="H219" s="645" t="e" cm="1">
        <f t="array" ref="H219">C_HPTC_DMD_A S_mini_idle</f>
        <v>#REF!</v>
      </c>
      <c r="I219" s="646"/>
      <c r="J219" s="645" t="e" cm="1">
        <f t="array" ref="J219">C_HPTC_DMD_A S_approach_idle</f>
        <v>#REF!</v>
      </c>
      <c r="K219" s="646"/>
      <c r="L219" s="645" t="e" cm="1">
        <f t="array" ref="L219">C_HPTC_DMD_A S_maxi_continu1</f>
        <v>#REF!</v>
      </c>
      <c r="M219" s="646"/>
      <c r="N219" s="645" t="e" cm="1">
        <f t="array" ref="N219">C_HPTC_DMD_A S_take_off1</f>
        <v>#REF!</v>
      </c>
      <c r="O219" s="646"/>
      <c r="P219" s="645" t="str" cm="1">
        <f t="array" ref="P219">IF('RATINGS QUESTION'!$K$5="YES","N/A",C_HPTC_DMD_A S_maxi_continu2)</f>
        <v>N/A</v>
      </c>
      <c r="Q219" s="648"/>
      <c r="R219" s="646"/>
      <c r="S219" s="645" t="str" cm="1">
        <f t="array" ref="S219">IF('RATINGS QUESTION'!$K$5="YES","N/A",C_HPTC_DMD_A S_take_off2)</f>
        <v>N/A</v>
      </c>
      <c r="T219" s="648"/>
      <c r="U219" s="143"/>
    </row>
    <row r="220" spans="1:21" x14ac:dyDescent="0.2">
      <c r="A220" s="143"/>
      <c r="B220" s="162" t="s">
        <v>373</v>
      </c>
      <c r="C220" s="162" t="s">
        <v>601</v>
      </c>
      <c r="D220" s="162" t="s">
        <v>400</v>
      </c>
      <c r="E220" s="163" t="s">
        <v>3</v>
      </c>
      <c r="F220" s="163"/>
      <c r="G220" s="143"/>
      <c r="H220" s="645" t="e" cm="1">
        <f t="array" ref="H220">C_HPTC_DMD_B S_mini_idle</f>
        <v>#REF!</v>
      </c>
      <c r="I220" s="646"/>
      <c r="J220" s="645" t="e" cm="1">
        <f t="array" ref="J220">C_HPTC_DMD_B S_approach_idle</f>
        <v>#REF!</v>
      </c>
      <c r="K220" s="646"/>
      <c r="L220" s="645" t="e" cm="1">
        <f t="array" ref="L220">C_HPTC_DMD_B S_maxi_continu1</f>
        <v>#REF!</v>
      </c>
      <c r="M220" s="646"/>
      <c r="N220" s="645" t="e" cm="1">
        <f t="array" ref="N220">C_HPTC_DMD_B S_take_off1</f>
        <v>#REF!</v>
      </c>
      <c r="O220" s="646"/>
      <c r="P220" s="645" t="str" cm="1">
        <f t="array" ref="P220">IF('RATINGS QUESTION'!$K$5="YES","N/A",C_HPTC_DMD_B S_maxi_continu2)</f>
        <v>N/A</v>
      </c>
      <c r="Q220" s="648"/>
      <c r="R220" s="646"/>
      <c r="S220" s="645" t="str" cm="1">
        <f t="array" ref="S220">IF('RATINGS QUESTION'!$K$5="YES","N/A",C_HPTC_DMD_B S_take_off2)</f>
        <v>N/A</v>
      </c>
      <c r="T220" s="648"/>
      <c r="U220" s="143"/>
    </row>
    <row r="221" spans="1:21" x14ac:dyDescent="0.2">
      <c r="A221" s="143"/>
      <c r="B221" s="162" t="s">
        <v>372</v>
      </c>
      <c r="C221" s="162" t="s">
        <v>602</v>
      </c>
      <c r="D221" s="162" t="s">
        <v>605</v>
      </c>
      <c r="E221" s="163" t="s">
        <v>3</v>
      </c>
      <c r="F221" s="163"/>
      <c r="G221" s="143"/>
      <c r="H221" s="645" cm="1">
        <f t="array" ref="H221">C_LPTC_SEL_A S_mini_idle</f>
        <v>0</v>
      </c>
      <c r="I221" s="646"/>
      <c r="J221" s="645" cm="1">
        <f t="array" ref="J221">C_LPTC_SEL_A S_approach_idle</f>
        <v>0</v>
      </c>
      <c r="K221" s="646"/>
      <c r="L221" s="645" cm="1">
        <f t="array" ref="L221">C_LPTC_SEL_A S_maxi_continu1</f>
        <v>0</v>
      </c>
      <c r="M221" s="646"/>
      <c r="N221" s="645" cm="1">
        <f t="array" ref="N221">C_LPTC_SEL_A S_take_off1</f>
        <v>0</v>
      </c>
      <c r="O221" s="646"/>
      <c r="P221" s="645" t="str" cm="1">
        <f t="array" ref="P221">IF('RATINGS QUESTION'!$K$5="YES","N/A",C_LPTC_SEL_A S_maxi_continu2)</f>
        <v>N/A</v>
      </c>
      <c r="Q221" s="648"/>
      <c r="R221" s="646"/>
      <c r="S221" s="645" t="str" cm="1">
        <f t="array" ref="S221">IF('RATINGS QUESTION'!$K$5="YES","N/A",C_LPTC_SEL_A S_take_off2)</f>
        <v>N/A</v>
      </c>
      <c r="T221" s="648"/>
      <c r="U221" s="143"/>
    </row>
    <row r="222" spans="1:21" x14ac:dyDescent="0.2">
      <c r="A222" s="143"/>
      <c r="B222" s="162" t="s">
        <v>373</v>
      </c>
      <c r="C222" s="162" t="s">
        <v>602</v>
      </c>
      <c r="D222" s="162" t="s">
        <v>605</v>
      </c>
      <c r="E222" s="163" t="s">
        <v>3</v>
      </c>
      <c r="F222" s="163"/>
      <c r="G222" s="143"/>
      <c r="H222" s="645" cm="1">
        <f t="array" ref="H222">C_LPTC_SEL_B S_mini_idle</f>
        <v>0</v>
      </c>
      <c r="I222" s="646"/>
      <c r="J222" s="645" cm="1">
        <f t="array" ref="J222">C_LPTC_SEL_B S_approach_idle</f>
        <v>0</v>
      </c>
      <c r="K222" s="646"/>
      <c r="L222" s="645" cm="1">
        <f t="array" ref="L222">C_LPTC_SEL_B S_maxi_continu1</f>
        <v>0</v>
      </c>
      <c r="M222" s="646"/>
      <c r="N222" s="645" cm="1">
        <f t="array" ref="N222">C_LPTC_SEL_B S_take_off1</f>
        <v>0</v>
      </c>
      <c r="O222" s="646"/>
      <c r="P222" s="645" t="str" cm="1">
        <f t="array" ref="P222">IF('RATINGS QUESTION'!$K$5="YES","N/A",C_LPTC_SEL_B S_maxi_continu2)</f>
        <v>N/A</v>
      </c>
      <c r="Q222" s="648"/>
      <c r="R222" s="646"/>
      <c r="S222" s="645" t="str" cm="1">
        <f t="array" ref="S222">IF('RATINGS QUESTION'!$K$5="YES","N/A",C_LPTC_SEL_B S_take_off2)</f>
        <v>N/A</v>
      </c>
      <c r="T222" s="648"/>
      <c r="U222" s="143"/>
    </row>
    <row r="223" spans="1:21" x14ac:dyDescent="0.2">
      <c r="A223" s="143"/>
      <c r="B223" s="162" t="s">
        <v>372</v>
      </c>
      <c r="C223" s="162" t="s">
        <v>603</v>
      </c>
      <c r="D223" s="162" t="s">
        <v>606</v>
      </c>
      <c r="E223" s="163" t="s">
        <v>3</v>
      </c>
      <c r="F223" s="163"/>
      <c r="G223" s="143"/>
      <c r="H223" s="645" cm="1">
        <f t="array" ref="H223">C_LPTC_DMD_A S_mini_idle</f>
        <v>0</v>
      </c>
      <c r="I223" s="646"/>
      <c r="J223" s="645" cm="1">
        <f t="array" ref="J223">C_LPTC_DMD_A S_approach_idle</f>
        <v>0</v>
      </c>
      <c r="K223" s="646"/>
      <c r="L223" s="645" cm="1">
        <f t="array" ref="L223">C_LPTC_DMD_A S_maxi_continu1</f>
        <v>0</v>
      </c>
      <c r="M223" s="646"/>
      <c r="N223" s="645" cm="1">
        <f t="array" ref="N223">C_LPTC_DMD_A S_take_off1</f>
        <v>0</v>
      </c>
      <c r="O223" s="646"/>
      <c r="P223" s="645" t="str" cm="1">
        <f t="array" ref="P223">IF('RATINGS QUESTION'!$K$5="YES","N/A",C_LPTC_DMD_A S_maxi_continu2)</f>
        <v>N/A</v>
      </c>
      <c r="Q223" s="648"/>
      <c r="R223" s="646"/>
      <c r="S223" s="645" t="str" cm="1">
        <f t="array" ref="S223">IF('RATINGS QUESTION'!$K$5="YES","N/A",C_LPTC_DMD_A S_take_off2)</f>
        <v>N/A</v>
      </c>
      <c r="T223" s="648"/>
      <c r="U223" s="143"/>
    </row>
    <row r="224" spans="1:21" x14ac:dyDescent="0.2">
      <c r="A224" s="143"/>
      <c r="B224" s="162" t="s">
        <v>373</v>
      </c>
      <c r="C224" s="162" t="s">
        <v>603</v>
      </c>
      <c r="D224" s="162" t="s">
        <v>606</v>
      </c>
      <c r="E224" s="163" t="s">
        <v>3</v>
      </c>
      <c r="F224" s="163"/>
      <c r="G224" s="143"/>
      <c r="H224" s="645" cm="1">
        <f t="array" ref="H224">C_LPTC_DMD_B S_mini_idle</f>
        <v>0</v>
      </c>
      <c r="I224" s="646"/>
      <c r="J224" s="645" cm="1">
        <f t="array" ref="J224">C_LPTC_DMD_B S_approach_idle</f>
        <v>0</v>
      </c>
      <c r="K224" s="646"/>
      <c r="L224" s="645" cm="1">
        <f t="array" ref="L224">C_LPTC_DMD_B S_maxi_continu1</f>
        <v>0</v>
      </c>
      <c r="M224" s="646"/>
      <c r="N224" s="645" cm="1">
        <f t="array" ref="N224">C_LPTC_DMD_B S_take_off1</f>
        <v>0</v>
      </c>
      <c r="O224" s="646"/>
      <c r="P224" s="645" t="str" cm="1">
        <f t="array" ref="P224">IF('RATINGS QUESTION'!$K$5="YES","N/A",C_LPTC_DMD_B S_maxi_continu2)</f>
        <v>N/A</v>
      </c>
      <c r="Q224" s="648"/>
      <c r="R224" s="646"/>
      <c r="S224" s="645" t="str" cm="1">
        <f t="array" ref="S224">IF('RATINGS QUESTION'!$K$5="YES","N/A",C_LPTC_DMD_B S_take_off2)</f>
        <v>N/A</v>
      </c>
      <c r="T224" s="648"/>
      <c r="U224" s="143"/>
    </row>
    <row r="225" spans="1:21" ht="12.75" customHeight="1" x14ac:dyDescent="0.2">
      <c r="A225" s="143"/>
      <c r="B225" s="162"/>
      <c r="C225" s="162"/>
      <c r="D225" s="162"/>
      <c r="E225" s="301"/>
      <c r="F225" s="301"/>
      <c r="G225" s="143"/>
      <c r="H225" s="253"/>
      <c r="I225" s="254"/>
      <c r="J225" s="255"/>
      <c r="K225" s="254"/>
      <c r="L225" s="255"/>
      <c r="M225" s="254"/>
      <c r="N225" s="255"/>
      <c r="O225" s="254"/>
      <c r="P225" s="305"/>
      <c r="Q225" s="306"/>
      <c r="R225" s="307"/>
      <c r="S225" s="253"/>
      <c r="T225" s="255"/>
      <c r="U225" s="149"/>
    </row>
    <row r="226" spans="1:21" ht="12.75" customHeight="1" x14ac:dyDescent="0.2">
      <c r="A226" s="143"/>
      <c r="B226" s="162"/>
      <c r="C226" s="162"/>
      <c r="D226" s="162"/>
      <c r="E226" s="223"/>
      <c r="F226" s="223"/>
      <c r="G226" s="143"/>
      <c r="H226" s="237"/>
      <c r="I226" s="225"/>
      <c r="J226" s="226"/>
      <c r="K226" s="225"/>
      <c r="L226" s="226"/>
      <c r="M226" s="225"/>
      <c r="N226" s="226"/>
      <c r="O226" s="225"/>
      <c r="P226" s="207"/>
      <c r="Q226" s="61"/>
      <c r="R226" s="208"/>
      <c r="S226" s="224"/>
      <c r="T226" s="226"/>
      <c r="U226" s="149"/>
    </row>
    <row r="227" spans="1:21" ht="12.75" customHeight="1" x14ac:dyDescent="0.25">
      <c r="A227" s="143"/>
      <c r="B227" s="162"/>
      <c r="C227" s="162"/>
      <c r="D227" s="162"/>
      <c r="E227" s="163"/>
      <c r="F227" s="163"/>
      <c r="G227" s="143"/>
      <c r="H227" s="210"/>
      <c r="I227" s="211"/>
      <c r="J227" s="210"/>
      <c r="K227" s="212"/>
      <c r="L227" s="213"/>
      <c r="M227" s="214"/>
      <c r="N227" s="213"/>
      <c r="O227" s="214"/>
      <c r="P227" s="213"/>
      <c r="Q227" s="155"/>
      <c r="R227" s="214"/>
      <c r="S227" s="213"/>
      <c r="T227" s="155"/>
      <c r="U227" s="149"/>
    </row>
    <row r="228" spans="1:21" ht="12.75" customHeight="1" x14ac:dyDescent="0.2">
      <c r="A228" s="143"/>
      <c r="B228" s="143"/>
      <c r="C228" s="162"/>
      <c r="D228" s="162"/>
      <c r="E228" s="163"/>
      <c r="F228" s="163"/>
      <c r="G228" s="143"/>
      <c r="H228" s="209"/>
      <c r="I228" s="209"/>
      <c r="J228" s="209"/>
      <c r="K228" s="209"/>
      <c r="L228" s="149"/>
      <c r="M228" s="149"/>
      <c r="N228" s="149"/>
      <c r="O228" s="149"/>
      <c r="P228" s="149"/>
      <c r="Q228" s="149"/>
      <c r="R228" s="149"/>
      <c r="S228" s="149"/>
      <c r="T228" s="644" t="s">
        <v>422</v>
      </c>
      <c r="U228" s="644"/>
    </row>
    <row r="229" spans="1:21" x14ac:dyDescent="0.2">
      <c r="A229" s="143"/>
      <c r="B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</row>
    <row r="230" spans="1:21" ht="16.5" customHeight="1" x14ac:dyDescent="0.25">
      <c r="A230" s="143"/>
      <c r="B230" s="143"/>
      <c r="C230" s="154"/>
      <c r="D230" s="154"/>
      <c r="E230" s="154"/>
      <c r="F230" s="154"/>
      <c r="G230" s="155"/>
      <c r="H230" s="653" t="s">
        <v>526</v>
      </c>
      <c r="I230" s="654"/>
      <c r="J230" s="655" t="s">
        <v>527</v>
      </c>
      <c r="K230" s="654"/>
      <c r="L230" s="655" t="s">
        <v>525</v>
      </c>
      <c r="M230" s="654"/>
      <c r="N230" s="655" t="s">
        <v>441</v>
      </c>
      <c r="O230" s="654"/>
      <c r="P230" s="655" t="s">
        <v>525</v>
      </c>
      <c r="Q230" s="653"/>
      <c r="R230" s="654"/>
      <c r="S230" s="655" t="s">
        <v>441</v>
      </c>
      <c r="T230" s="653"/>
      <c r="U230" s="156"/>
    </row>
    <row r="231" spans="1:21" s="42" customFormat="1" ht="12.75" customHeight="1" x14ac:dyDescent="0.25">
      <c r="A231" s="143"/>
      <c r="B231" s="293"/>
      <c r="C231" s="293"/>
      <c r="D231" s="293"/>
      <c r="E231" s="293"/>
      <c r="F231" s="293"/>
      <c r="G231" s="293"/>
      <c r="H231" s="639"/>
      <c r="I231" s="640"/>
      <c r="J231" s="638"/>
      <c r="K231" s="640"/>
      <c r="L231" s="638" cm="1">
        <f t="array" ref="L231" xml:space="preserve"> VLOOKUP(C_Engine_Rating S_maxi_continu1, enum_list!$A$2:$F$102,3,1)</f>
        <v>0</v>
      </c>
      <c r="M231" s="640"/>
      <c r="N231" s="638" cm="1">
        <f t="array" ref="N231" xml:space="preserve"> VLOOKUP(C_Engine_Rating S_take_off1, enum_list!$A$2:$F$102,3,1)</f>
        <v>0</v>
      </c>
      <c r="O231" s="640"/>
      <c r="P231" s="641" t="str" cm="1">
        <f t="array" ref="P231">IF('RATINGS QUESTION'!$K$5="YES","N/A",VLOOKUP(C_Engine_Rating S_maxi_continu2, enum_list!$A$2:$F$102,3,1))</f>
        <v>N/A</v>
      </c>
      <c r="Q231" s="642"/>
      <c r="R231" s="643"/>
      <c r="S231" s="638" t="str" cm="1">
        <f t="array" ref="S231">IF('RATINGS QUESTION'!$K$5="YES","N/A",VLOOKUP(C_Engine_Rating S_take_off2, enum_list!$A$2:$F$102,3,1))</f>
        <v>N/A</v>
      </c>
      <c r="T231" s="639"/>
      <c r="U231" s="290"/>
    </row>
    <row r="232" spans="1:21" s="42" customFormat="1" ht="12.75" customHeight="1" thickBot="1" x14ac:dyDescent="0.3">
      <c r="A232" s="143"/>
      <c r="B232" s="294"/>
      <c r="C232" s="294"/>
      <c r="D232" s="294"/>
      <c r="E232" s="294"/>
      <c r="F232" s="294"/>
      <c r="G232" s="294"/>
      <c r="H232" s="290"/>
      <c r="I232" s="292"/>
      <c r="J232" s="291"/>
      <c r="K232" s="292"/>
      <c r="L232" s="291"/>
      <c r="M232" s="292"/>
      <c r="N232" s="291"/>
      <c r="O232" s="292"/>
      <c r="P232" s="291"/>
      <c r="Q232" s="290"/>
      <c r="R232" s="292"/>
      <c r="S232" s="291"/>
      <c r="T232" s="290"/>
      <c r="U232" s="290"/>
    </row>
    <row r="233" spans="1:21" ht="16.5" customHeight="1" thickBot="1" x14ac:dyDescent="0.25">
      <c r="A233" s="143"/>
      <c r="B233" s="649" t="s">
        <v>370</v>
      </c>
      <c r="C233" s="650"/>
      <c r="D233" s="651" t="s">
        <v>371</v>
      </c>
      <c r="E233" s="651"/>
      <c r="F233" s="651"/>
      <c r="G233" s="652"/>
      <c r="H233" s="157"/>
      <c r="I233" s="159"/>
      <c r="J233" s="143"/>
      <c r="K233" s="159"/>
      <c r="L233" s="158"/>
      <c r="M233" s="159"/>
      <c r="N233" s="158"/>
      <c r="O233" s="159"/>
      <c r="P233" s="158"/>
      <c r="Q233" s="143"/>
      <c r="R233" s="159"/>
      <c r="S233" s="158"/>
      <c r="T233" s="143"/>
      <c r="U233" s="143"/>
    </row>
    <row r="234" spans="1:21" ht="12.75" customHeight="1" x14ac:dyDescent="0.2">
      <c r="A234" s="143"/>
      <c r="B234" s="143"/>
      <c r="C234" s="656"/>
      <c r="D234" s="656"/>
      <c r="E234" s="656"/>
      <c r="F234" s="656"/>
      <c r="G234" s="657"/>
      <c r="H234" s="222"/>
      <c r="I234" s="217"/>
      <c r="J234" s="216"/>
      <c r="K234" s="217"/>
      <c r="L234" s="215"/>
      <c r="M234" s="217"/>
      <c r="N234" s="215"/>
      <c r="O234" s="217"/>
      <c r="P234" s="215"/>
      <c r="Q234" s="216"/>
      <c r="R234" s="217"/>
      <c r="S234" s="215"/>
      <c r="T234" s="216"/>
      <c r="U234" s="143"/>
    </row>
    <row r="235" spans="1:21" x14ac:dyDescent="0.2">
      <c r="A235" s="143"/>
      <c r="B235" s="162" t="s">
        <v>372</v>
      </c>
      <c r="C235" s="162" t="s">
        <v>607</v>
      </c>
      <c r="D235" s="162" t="s">
        <v>610</v>
      </c>
      <c r="E235" s="488" t="s">
        <v>3</v>
      </c>
      <c r="F235" s="163"/>
      <c r="G235" s="143"/>
      <c r="H235" s="645" cm="1">
        <f t="array" ref="H235">C_FMV_SEL_A S_mini_idle</f>
        <v>0</v>
      </c>
      <c r="I235" s="646"/>
      <c r="J235" s="645" cm="1">
        <f t="array" ref="J235">C_FMV_SEL_A S_approach_idle</f>
        <v>0</v>
      </c>
      <c r="K235" s="646"/>
      <c r="L235" s="645" cm="1">
        <f t="array" ref="L235">C_FMV_SEL_A S_maxi_continu1</f>
        <v>0</v>
      </c>
      <c r="M235" s="646"/>
      <c r="N235" s="645" cm="1">
        <f t="array" ref="N235">C_FMV_SEL_A S_take_off1</f>
        <v>0</v>
      </c>
      <c r="O235" s="646"/>
      <c r="P235" s="645" t="str" cm="1">
        <f t="array" ref="P235">IF('RATINGS QUESTION'!$K$5="YES","N/A",C_FMV_SEL_A S_maxi_continu2)</f>
        <v>N/A</v>
      </c>
      <c r="Q235" s="648"/>
      <c r="R235" s="646"/>
      <c r="S235" s="645" t="str" cm="1">
        <f t="array" ref="S235">IF('RATINGS QUESTION'!$K$5="YES","N/A",C_FMV_SEL_A S_take_off2)</f>
        <v>N/A</v>
      </c>
      <c r="T235" s="648"/>
      <c r="U235" s="143"/>
    </row>
    <row r="236" spans="1:21" x14ac:dyDescent="0.2">
      <c r="A236" s="143"/>
      <c r="B236" s="162" t="s">
        <v>373</v>
      </c>
      <c r="C236" s="162" t="s">
        <v>607</v>
      </c>
      <c r="D236" s="162" t="s">
        <v>610</v>
      </c>
      <c r="E236" s="488" t="s">
        <v>3</v>
      </c>
      <c r="F236" s="163"/>
      <c r="G236" s="143"/>
      <c r="H236" s="645" cm="1">
        <f t="array" ref="H236">C_FMV_SEL_B S_mini_idle</f>
        <v>0</v>
      </c>
      <c r="I236" s="646"/>
      <c r="J236" s="645" cm="1">
        <f t="array" ref="J236">C_FMV_SEL_B S_approach_idle</f>
        <v>0</v>
      </c>
      <c r="K236" s="646"/>
      <c r="L236" s="645" cm="1">
        <f t="array" ref="L236">C_FMV_SEL_B S_maxi_continu1</f>
        <v>0</v>
      </c>
      <c r="M236" s="646"/>
      <c r="N236" s="645" cm="1">
        <f t="array" ref="N236">C_FMV_SEL_B S_take_off1</f>
        <v>0</v>
      </c>
      <c r="O236" s="646"/>
      <c r="P236" s="645" t="str" cm="1">
        <f t="array" ref="P236">IF('RATINGS QUESTION'!$K$5="YES","N/A",C_FMV_SEL_B S_maxi_continu2)</f>
        <v>N/A</v>
      </c>
      <c r="Q236" s="648"/>
      <c r="R236" s="646"/>
      <c r="S236" s="645" t="str" cm="1">
        <f t="array" ref="S236">IF('RATINGS QUESTION'!$K$5="YES","N/A",C_FMV_SEL_B S_take_off2)</f>
        <v>N/A</v>
      </c>
      <c r="T236" s="648"/>
      <c r="U236" s="143"/>
    </row>
    <row r="237" spans="1:21" x14ac:dyDescent="0.2">
      <c r="A237" s="143"/>
      <c r="B237" s="162" t="s">
        <v>372</v>
      </c>
      <c r="C237" s="162" t="s">
        <v>608</v>
      </c>
      <c r="D237" s="162" t="s">
        <v>609</v>
      </c>
      <c r="E237" s="488" t="s">
        <v>3</v>
      </c>
      <c r="F237" s="163"/>
      <c r="G237" s="143"/>
      <c r="H237" s="645" cm="1">
        <f t="array" ref="H237">C_FMV_DMD_A S_mini_idle</f>
        <v>0</v>
      </c>
      <c r="I237" s="646"/>
      <c r="J237" s="645" cm="1">
        <f t="array" ref="J237">C_FMV_DMD_A S_approach_idle</f>
        <v>0</v>
      </c>
      <c r="K237" s="646"/>
      <c r="L237" s="645" cm="1">
        <f t="array" ref="L237">C_FMV_DMD_A S_maxi_continu1</f>
        <v>0</v>
      </c>
      <c r="M237" s="646"/>
      <c r="N237" s="645" cm="1">
        <f t="array" ref="N237">C_FMV_DMD_A S_take_off1</f>
        <v>0</v>
      </c>
      <c r="O237" s="646"/>
      <c r="P237" s="645" t="str" cm="1">
        <f t="array" ref="P237">IF('RATINGS QUESTION'!$K$5="YES","N/A",C_FMV_DMD_A S_maxi_continu2)</f>
        <v>N/A</v>
      </c>
      <c r="Q237" s="648"/>
      <c r="R237" s="646"/>
      <c r="S237" s="645" t="str" cm="1">
        <f t="array" ref="S237">IF('RATINGS QUESTION'!$K$5="YES","N/A",C_FMV_DMD_A S_take_off2)</f>
        <v>N/A</v>
      </c>
      <c r="T237" s="648"/>
      <c r="U237" s="143"/>
    </row>
    <row r="238" spans="1:21" x14ac:dyDescent="0.2">
      <c r="A238" s="143"/>
      <c r="B238" s="162" t="s">
        <v>373</v>
      </c>
      <c r="C238" s="162" t="s">
        <v>608</v>
      </c>
      <c r="D238" s="162" t="s">
        <v>609</v>
      </c>
      <c r="E238" s="488" t="s">
        <v>3</v>
      </c>
      <c r="F238" s="163"/>
      <c r="G238" s="143"/>
      <c r="H238" s="645" cm="1">
        <f t="array" ref="H238">C_FMV_DMD_B S_mini_idle</f>
        <v>0</v>
      </c>
      <c r="I238" s="646"/>
      <c r="J238" s="645" cm="1">
        <f t="array" ref="J238">C_FMV_DMD_B S_approach_idle</f>
        <v>0</v>
      </c>
      <c r="K238" s="646"/>
      <c r="L238" s="645" cm="1">
        <f t="array" ref="L238">C_FMV_DMD_B S_maxi_continu1</f>
        <v>0</v>
      </c>
      <c r="M238" s="646"/>
      <c r="N238" s="645" cm="1">
        <f t="array" ref="N238">C_FMV_DMD_B S_take_off1</f>
        <v>0</v>
      </c>
      <c r="O238" s="646"/>
      <c r="P238" s="645" t="str" cm="1">
        <f t="array" ref="P238">IF('RATINGS QUESTION'!$K$5="YES","N/A",C_FMV_DMD_B S_maxi_continu2)</f>
        <v>N/A</v>
      </c>
      <c r="Q238" s="648"/>
      <c r="R238" s="646"/>
      <c r="S238" s="645" t="str" cm="1">
        <f t="array" ref="S238">IF('RATINGS QUESTION'!$K$5="YES","N/A",C_FMV_DMD_B S_take_off2)</f>
        <v>N/A</v>
      </c>
      <c r="T238" s="648"/>
      <c r="U238" s="143"/>
    </row>
    <row r="239" spans="1:21" x14ac:dyDescent="0.2">
      <c r="A239" s="143"/>
      <c r="B239" s="162" t="s">
        <v>372</v>
      </c>
      <c r="C239" s="162" t="s">
        <v>413</v>
      </c>
      <c r="D239" s="162" t="s">
        <v>401</v>
      </c>
      <c r="E239" s="163" t="s">
        <v>356</v>
      </c>
      <c r="F239" s="163"/>
      <c r="G239" s="143"/>
      <c r="H239" s="636" cm="1">
        <f t="array" ref="H239">C_WFM_SEL_A S_mini_idle</f>
        <v>0</v>
      </c>
      <c r="I239" s="637"/>
      <c r="J239" s="636" cm="1">
        <f t="array" ref="J239">C_WFM_SEL_A S_approach_idle</f>
        <v>0</v>
      </c>
      <c r="K239" s="637"/>
      <c r="L239" s="636" cm="1">
        <f t="array" ref="L239">C_WFM_SEL_A S_maxi_continu1</f>
        <v>0</v>
      </c>
      <c r="M239" s="637"/>
      <c r="N239" s="636" cm="1">
        <f t="array" ref="N239">C_WFM_SEL_A S_take_off1</f>
        <v>0</v>
      </c>
      <c r="O239" s="637"/>
      <c r="P239" s="636" t="str" cm="1">
        <f t="array" ref="P239">IF('RATINGS QUESTION'!$K$5="YES","N/A",C_WFM_SEL_A S_maxi_continu2)</f>
        <v>N/A</v>
      </c>
      <c r="Q239" s="647"/>
      <c r="R239" s="637"/>
      <c r="S239" s="636" t="str" cm="1">
        <f t="array" ref="S239">IF('RATINGS QUESTION'!$K$5="YES","N/A",C_WFM_SEL_A S_take_off2)</f>
        <v>N/A</v>
      </c>
      <c r="T239" s="647"/>
      <c r="U239" s="143"/>
    </row>
    <row r="240" spans="1:21" x14ac:dyDescent="0.2">
      <c r="A240" s="143"/>
      <c r="B240" s="162" t="s">
        <v>373</v>
      </c>
      <c r="C240" s="162" t="s">
        <v>413</v>
      </c>
      <c r="D240" s="162" t="s">
        <v>401</v>
      </c>
      <c r="E240" s="163" t="s">
        <v>356</v>
      </c>
      <c r="F240" s="163"/>
      <c r="G240" s="143"/>
      <c r="H240" s="636" cm="1">
        <f t="array" ref="H240">C_WFM_SEL_B S_mini_idle</f>
        <v>0</v>
      </c>
      <c r="I240" s="637"/>
      <c r="J240" s="636" cm="1">
        <f t="array" ref="J240">C_WFM_SEL_B S_approach_idle</f>
        <v>0</v>
      </c>
      <c r="K240" s="637"/>
      <c r="L240" s="636" cm="1">
        <f t="array" ref="L240">C_WFM_SEL_B S_maxi_continu1</f>
        <v>0</v>
      </c>
      <c r="M240" s="637"/>
      <c r="N240" s="636" cm="1">
        <f t="array" ref="N240">C_WFM_SEL_B S_take_off1</f>
        <v>0</v>
      </c>
      <c r="O240" s="637"/>
      <c r="P240" s="636" t="str" cm="1">
        <f t="array" ref="P240">IF('RATINGS QUESTION'!$K$5="YES","N/A",C_WFM_SEL_B S_maxi_continu2)</f>
        <v>N/A</v>
      </c>
      <c r="Q240" s="647"/>
      <c r="R240" s="637"/>
      <c r="S240" s="636" t="str" cm="1">
        <f t="array" ref="S240">IF('RATINGS QUESTION'!$K$5="YES","N/A",C_WFM_SEL_B S_take_off2)</f>
        <v>N/A</v>
      </c>
      <c r="T240" s="647"/>
      <c r="U240" s="143"/>
    </row>
    <row r="241" spans="1:21" ht="14.25" x14ac:dyDescent="0.2">
      <c r="A241" s="143"/>
      <c r="B241" s="143"/>
      <c r="C241" s="162"/>
      <c r="D241" s="162"/>
      <c r="E241" s="163"/>
      <c r="F241" s="163"/>
      <c r="G241" s="143"/>
      <c r="H241" s="216"/>
      <c r="I241" s="216"/>
      <c r="J241" s="216"/>
      <c r="K241" s="216"/>
      <c r="L241" s="216"/>
      <c r="M241" s="216"/>
      <c r="N241" s="216"/>
      <c r="O241" s="216"/>
      <c r="P241" s="216"/>
      <c r="Q241" s="216"/>
      <c r="R241" s="216"/>
      <c r="S241" s="216"/>
      <c r="T241" s="216"/>
      <c r="U241" s="143"/>
    </row>
    <row r="242" spans="1:21" ht="14.25" x14ac:dyDescent="0.2">
      <c r="A242" s="143"/>
      <c r="B242" s="143"/>
      <c r="C242" s="162"/>
      <c r="D242" s="162"/>
      <c r="E242" s="163"/>
      <c r="F242" s="163"/>
      <c r="G242" s="143"/>
      <c r="H242" s="216"/>
      <c r="I242" s="216"/>
      <c r="J242" s="216"/>
      <c r="K242" s="216"/>
      <c r="L242" s="216"/>
      <c r="M242" s="216"/>
      <c r="N242" s="216"/>
      <c r="O242" s="216"/>
      <c r="P242" s="216"/>
      <c r="Q242" s="216"/>
      <c r="R242" s="216"/>
      <c r="S242" s="216"/>
      <c r="T242" s="216"/>
      <c r="U242" s="143"/>
    </row>
    <row r="243" spans="1:21" ht="14.25" x14ac:dyDescent="0.2">
      <c r="A243" s="143"/>
      <c r="B243" s="143"/>
      <c r="C243" s="162"/>
      <c r="D243" s="162"/>
      <c r="E243" s="163"/>
      <c r="F243" s="163"/>
      <c r="G243" s="143"/>
      <c r="H243" s="216"/>
      <c r="I243" s="216"/>
      <c r="J243" s="216"/>
      <c r="K243" s="216"/>
      <c r="L243" s="216"/>
      <c r="M243" s="216"/>
      <c r="N243" s="216"/>
      <c r="O243" s="216"/>
      <c r="P243" s="216"/>
      <c r="Q243" s="216"/>
      <c r="R243" s="216"/>
      <c r="S243" s="216"/>
      <c r="T243" s="216"/>
      <c r="U243" s="143"/>
    </row>
    <row r="244" spans="1:21" ht="14.25" x14ac:dyDescent="0.2">
      <c r="A244" s="143"/>
      <c r="B244" s="143"/>
      <c r="C244" s="162"/>
      <c r="D244" s="162"/>
      <c r="E244" s="163"/>
      <c r="F244" s="163"/>
      <c r="G244" s="143"/>
      <c r="H244" s="216"/>
      <c r="I244" s="216"/>
      <c r="J244" s="216"/>
      <c r="K244" s="216"/>
      <c r="L244" s="216"/>
      <c r="M244" s="216"/>
      <c r="N244" s="216"/>
      <c r="O244" s="216"/>
      <c r="P244" s="216"/>
      <c r="Q244" s="216"/>
      <c r="R244" s="216"/>
      <c r="S244" s="216"/>
      <c r="T244" s="216"/>
      <c r="U244" s="143"/>
    </row>
    <row r="245" spans="1:21" ht="14.25" x14ac:dyDescent="0.2">
      <c r="A245" s="143"/>
      <c r="B245" s="143"/>
      <c r="C245" s="162"/>
      <c r="D245" s="162"/>
      <c r="E245" s="163"/>
      <c r="F245" s="163"/>
      <c r="G245" s="143"/>
      <c r="H245" s="216"/>
      <c r="I245" s="216"/>
      <c r="J245" s="216"/>
      <c r="K245" s="216"/>
      <c r="L245" s="216"/>
      <c r="M245" s="216"/>
      <c r="N245" s="216"/>
      <c r="O245" s="216"/>
      <c r="P245" s="216"/>
      <c r="Q245" s="216"/>
      <c r="R245" s="216"/>
      <c r="S245" s="216"/>
      <c r="T245" s="216"/>
      <c r="U245" s="143"/>
    </row>
    <row r="246" spans="1:21" ht="14.25" x14ac:dyDescent="0.2">
      <c r="A246" s="143"/>
      <c r="B246" s="143"/>
      <c r="C246" s="162"/>
      <c r="D246" s="162"/>
      <c r="E246" s="163"/>
      <c r="F246" s="163"/>
      <c r="G246" s="143"/>
      <c r="H246" s="216"/>
      <c r="I246" s="216"/>
      <c r="J246" s="216"/>
      <c r="K246" s="216"/>
      <c r="L246" s="216"/>
      <c r="M246" s="216"/>
      <c r="N246" s="216"/>
      <c r="O246" s="216"/>
      <c r="P246" s="216"/>
      <c r="Q246" s="216"/>
      <c r="R246" s="216"/>
      <c r="S246" s="216"/>
      <c r="T246" s="216"/>
      <c r="U246" s="143"/>
    </row>
    <row r="247" spans="1:21" ht="14.25" x14ac:dyDescent="0.2">
      <c r="A247" s="143"/>
      <c r="B247" s="143"/>
      <c r="C247" s="162"/>
      <c r="D247" s="162"/>
      <c r="E247" s="163"/>
      <c r="F247" s="163"/>
      <c r="G247" s="143"/>
      <c r="H247" s="216"/>
      <c r="I247" s="216"/>
      <c r="J247" s="216"/>
      <c r="K247" s="216"/>
      <c r="L247" s="216"/>
      <c r="M247" s="216"/>
      <c r="N247" s="216"/>
      <c r="O247" s="216"/>
      <c r="P247" s="216"/>
      <c r="Q247" s="216"/>
      <c r="R247" s="216"/>
      <c r="S247" s="216"/>
      <c r="T247" s="216"/>
      <c r="U247" s="143"/>
    </row>
    <row r="248" spans="1:21" ht="14.25" x14ac:dyDescent="0.2">
      <c r="A248" s="143"/>
      <c r="B248" s="143"/>
      <c r="C248" s="162"/>
      <c r="D248" s="162"/>
      <c r="E248" s="163"/>
      <c r="F248" s="163"/>
      <c r="G248" s="143"/>
      <c r="H248" s="216"/>
      <c r="I248" s="216"/>
      <c r="J248" s="216"/>
      <c r="K248" s="216"/>
      <c r="L248" s="216"/>
      <c r="M248" s="216"/>
      <c r="N248" s="216"/>
      <c r="O248" s="216"/>
      <c r="P248" s="216"/>
      <c r="Q248" s="216"/>
      <c r="R248" s="216"/>
      <c r="S248" s="216"/>
      <c r="T248" s="216"/>
      <c r="U248" s="143"/>
    </row>
    <row r="249" spans="1:21" ht="14.25" x14ac:dyDescent="0.2">
      <c r="A249" s="143"/>
      <c r="B249" s="143"/>
      <c r="C249" s="162"/>
      <c r="D249" s="162"/>
      <c r="E249" s="163"/>
      <c r="F249" s="163"/>
      <c r="G249" s="143"/>
      <c r="H249" s="216"/>
      <c r="I249" s="216"/>
      <c r="J249" s="216"/>
      <c r="K249" s="216"/>
      <c r="L249" s="216"/>
      <c r="M249" s="216"/>
      <c r="N249" s="216"/>
      <c r="O249" s="216"/>
      <c r="P249" s="216"/>
      <c r="Q249" s="216"/>
      <c r="R249" s="216"/>
      <c r="S249" s="216"/>
      <c r="T249" s="216"/>
      <c r="U249" s="143"/>
    </row>
    <row r="250" spans="1:21" ht="14.25" x14ac:dyDescent="0.2">
      <c r="A250" s="143"/>
      <c r="B250" s="143"/>
      <c r="C250" s="162"/>
      <c r="D250" s="162"/>
      <c r="E250" s="163"/>
      <c r="F250" s="163"/>
      <c r="G250" s="143"/>
      <c r="H250" s="216"/>
      <c r="I250" s="216"/>
      <c r="J250" s="216"/>
      <c r="K250" s="216"/>
      <c r="L250" s="216"/>
      <c r="M250" s="216"/>
      <c r="N250" s="216"/>
      <c r="O250" s="216"/>
      <c r="P250" s="216"/>
      <c r="Q250" s="216"/>
      <c r="R250" s="216"/>
      <c r="S250" s="216"/>
      <c r="T250" s="216"/>
      <c r="U250" s="143"/>
    </row>
    <row r="251" spans="1:21" ht="14.25" x14ac:dyDescent="0.2">
      <c r="A251" s="143"/>
      <c r="B251" s="143"/>
      <c r="C251" s="162"/>
      <c r="D251" s="162"/>
      <c r="E251" s="163"/>
      <c r="F251" s="163"/>
      <c r="G251" s="143"/>
      <c r="H251" s="216"/>
      <c r="I251" s="216"/>
      <c r="J251" s="216"/>
      <c r="K251" s="216"/>
      <c r="L251" s="216"/>
      <c r="M251" s="216"/>
      <c r="N251" s="216"/>
      <c r="O251" s="216"/>
      <c r="P251" s="216"/>
      <c r="Q251" s="216"/>
      <c r="R251" s="216"/>
      <c r="S251" s="216"/>
      <c r="T251" s="216"/>
      <c r="U251" s="143"/>
    </row>
    <row r="252" spans="1:21" ht="14.25" x14ac:dyDescent="0.2">
      <c r="A252" s="143"/>
      <c r="B252" s="143"/>
      <c r="C252" s="162"/>
      <c r="D252" s="162"/>
      <c r="E252" s="163"/>
      <c r="F252" s="163"/>
      <c r="G252" s="143"/>
      <c r="H252" s="216"/>
      <c r="I252" s="216"/>
      <c r="J252" s="216"/>
      <c r="K252" s="216"/>
      <c r="L252" s="216"/>
      <c r="M252" s="216"/>
      <c r="N252" s="216"/>
      <c r="O252" s="216"/>
      <c r="P252" s="216"/>
      <c r="Q252" s="216"/>
      <c r="R252" s="216"/>
      <c r="S252" s="216"/>
      <c r="T252" s="216"/>
      <c r="U252" s="143"/>
    </row>
    <row r="253" spans="1:21" ht="14.25" x14ac:dyDescent="0.2">
      <c r="A253" s="143"/>
      <c r="B253" s="143"/>
      <c r="C253" s="162"/>
      <c r="D253" s="162"/>
      <c r="E253" s="163"/>
      <c r="F253" s="163"/>
      <c r="G253" s="143"/>
      <c r="H253" s="216"/>
      <c r="I253" s="216"/>
      <c r="J253" s="216"/>
      <c r="K253" s="216"/>
      <c r="L253" s="216"/>
      <c r="M253" s="216"/>
      <c r="N253" s="216"/>
      <c r="O253" s="216"/>
      <c r="P253" s="216"/>
      <c r="Q253" s="216"/>
      <c r="R253" s="216"/>
      <c r="S253" s="216"/>
      <c r="T253" s="216"/>
      <c r="U253" s="143"/>
    </row>
    <row r="254" spans="1:21" ht="14.25" x14ac:dyDescent="0.2">
      <c r="A254" s="143"/>
      <c r="B254" s="143"/>
      <c r="C254" s="162"/>
      <c r="D254" s="162"/>
      <c r="E254" s="163"/>
      <c r="F254" s="163"/>
      <c r="G254" s="143"/>
      <c r="H254" s="216"/>
      <c r="I254" s="216"/>
      <c r="J254" s="216"/>
      <c r="K254" s="216"/>
      <c r="L254" s="216"/>
      <c r="M254" s="216"/>
      <c r="N254" s="216"/>
      <c r="O254" s="216"/>
      <c r="P254" s="216"/>
      <c r="Q254" s="216"/>
      <c r="R254" s="216"/>
      <c r="S254" s="216"/>
      <c r="T254" s="216"/>
      <c r="U254" s="143"/>
    </row>
    <row r="255" spans="1:21" ht="14.25" x14ac:dyDescent="0.2">
      <c r="A255" s="143"/>
      <c r="B255" s="143"/>
      <c r="C255" s="162"/>
      <c r="D255" s="162"/>
      <c r="E255" s="301"/>
      <c r="F255" s="301"/>
      <c r="G255" s="143"/>
      <c r="H255" s="216"/>
      <c r="I255" s="216"/>
      <c r="J255" s="216"/>
      <c r="K255" s="216"/>
      <c r="L255" s="216"/>
      <c r="M255" s="216"/>
      <c r="N255" s="216"/>
      <c r="O255" s="216"/>
      <c r="P255" s="216"/>
      <c r="Q255" s="216"/>
      <c r="R255" s="216"/>
      <c r="S255" s="216"/>
      <c r="T255" s="216"/>
      <c r="U255" s="143"/>
    </row>
    <row r="256" spans="1:21" ht="14.25" x14ac:dyDescent="0.2">
      <c r="A256" s="143"/>
      <c r="B256" s="143"/>
      <c r="C256" s="162"/>
      <c r="D256" s="162"/>
      <c r="E256" s="163"/>
      <c r="F256" s="163"/>
      <c r="G256" s="143"/>
      <c r="H256" s="216"/>
      <c r="I256" s="216"/>
      <c r="J256" s="216"/>
      <c r="K256" s="216"/>
      <c r="L256" s="216"/>
      <c r="M256" s="216"/>
      <c r="N256" s="216"/>
      <c r="O256" s="216"/>
      <c r="P256" s="216"/>
      <c r="Q256" s="216"/>
      <c r="R256" s="216"/>
      <c r="S256" s="216"/>
      <c r="T256" s="216"/>
      <c r="U256" s="143"/>
    </row>
    <row r="257" spans="1:21" ht="14.25" x14ac:dyDescent="0.2">
      <c r="A257" s="143"/>
      <c r="B257" s="143"/>
      <c r="C257" s="162"/>
      <c r="D257" s="162"/>
      <c r="E257" s="163"/>
      <c r="F257" s="163"/>
      <c r="G257" s="143"/>
      <c r="H257" s="216"/>
      <c r="I257" s="216"/>
      <c r="J257" s="216"/>
      <c r="K257" s="216"/>
      <c r="L257" s="216"/>
      <c r="M257" s="216"/>
      <c r="N257" s="216"/>
      <c r="O257" s="216"/>
      <c r="P257" s="216"/>
      <c r="Q257" s="216"/>
      <c r="R257" s="216"/>
      <c r="S257" s="216"/>
      <c r="T257" s="216"/>
      <c r="U257" s="143"/>
    </row>
    <row r="258" spans="1:21" ht="14.25" x14ac:dyDescent="0.2">
      <c r="A258" s="143"/>
      <c r="B258" s="143"/>
      <c r="C258" s="162"/>
      <c r="D258" s="162"/>
      <c r="E258" s="223"/>
      <c r="F258" s="223"/>
      <c r="G258" s="143"/>
      <c r="H258" s="216"/>
      <c r="I258" s="216"/>
      <c r="J258" s="216"/>
      <c r="K258" s="216"/>
      <c r="L258" s="216"/>
      <c r="M258" s="216"/>
      <c r="N258" s="216"/>
      <c r="O258" s="216"/>
      <c r="P258" s="216"/>
      <c r="Q258" s="216"/>
      <c r="R258" s="216"/>
      <c r="S258" s="216"/>
      <c r="T258" s="216"/>
      <c r="U258" s="143"/>
    </row>
    <row r="259" spans="1:21" ht="14.25" x14ac:dyDescent="0.2">
      <c r="A259" s="143"/>
      <c r="B259" s="143"/>
      <c r="C259" s="162"/>
      <c r="D259" s="162"/>
      <c r="E259" s="223"/>
      <c r="F259" s="223"/>
      <c r="G259" s="143"/>
      <c r="H259" s="216"/>
      <c r="I259" s="216"/>
      <c r="J259" s="216"/>
      <c r="K259" s="216"/>
      <c r="L259" s="216"/>
      <c r="M259" s="216"/>
      <c r="N259" s="216"/>
      <c r="O259" s="216"/>
      <c r="P259" s="216"/>
      <c r="Q259" s="216"/>
      <c r="R259" s="216"/>
      <c r="S259" s="216"/>
      <c r="T259" s="216"/>
      <c r="U259" s="143"/>
    </row>
    <row r="260" spans="1:21" ht="14.25" x14ac:dyDescent="0.2">
      <c r="A260" s="143"/>
      <c r="B260" s="143"/>
      <c r="C260" s="162"/>
      <c r="D260" s="162"/>
      <c r="E260" s="223"/>
      <c r="F260" s="223"/>
      <c r="G260" s="143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216"/>
      <c r="T260" s="216"/>
      <c r="U260" s="143"/>
    </row>
    <row r="261" spans="1:21" ht="14.25" x14ac:dyDescent="0.2">
      <c r="A261" s="143"/>
      <c r="B261" s="143"/>
      <c r="C261" s="162"/>
      <c r="D261" s="162"/>
      <c r="E261" s="223"/>
      <c r="F261" s="223"/>
      <c r="G261" s="143"/>
      <c r="H261" s="216"/>
      <c r="I261" s="216"/>
      <c r="J261" s="216"/>
      <c r="K261" s="216"/>
      <c r="L261" s="216"/>
      <c r="M261" s="216"/>
      <c r="N261" s="216"/>
      <c r="O261" s="216"/>
      <c r="P261" s="216"/>
      <c r="Q261" s="216"/>
      <c r="R261" s="216"/>
      <c r="S261" s="216"/>
      <c r="T261" s="216"/>
      <c r="U261" s="143"/>
    </row>
    <row r="262" spans="1:21" ht="14.25" x14ac:dyDescent="0.2">
      <c r="A262" s="143"/>
      <c r="B262" s="143"/>
      <c r="C262" s="162"/>
      <c r="D262" s="162"/>
      <c r="E262" s="223"/>
      <c r="F262" s="223"/>
      <c r="G262" s="143"/>
      <c r="H262" s="216"/>
      <c r="I262" s="216"/>
      <c r="J262" s="216"/>
      <c r="K262" s="216"/>
      <c r="L262" s="216"/>
      <c r="M262" s="216"/>
      <c r="N262" s="216"/>
      <c r="O262" s="216"/>
      <c r="P262" s="216"/>
      <c r="Q262" s="216"/>
      <c r="R262" s="216"/>
      <c r="S262" s="216"/>
      <c r="T262" s="216"/>
      <c r="U262" s="143"/>
    </row>
    <row r="263" spans="1:21" ht="14.25" x14ac:dyDescent="0.2">
      <c r="A263" s="143"/>
      <c r="B263" s="143"/>
      <c r="C263" s="162"/>
      <c r="D263" s="162"/>
      <c r="E263" s="223"/>
      <c r="F263" s="223"/>
      <c r="G263" s="143"/>
      <c r="H263" s="216"/>
      <c r="I263" s="216"/>
      <c r="J263" s="216"/>
      <c r="K263" s="216"/>
      <c r="L263" s="216"/>
      <c r="M263" s="216"/>
      <c r="N263" s="216"/>
      <c r="O263" s="216"/>
      <c r="P263" s="216"/>
      <c r="Q263" s="216"/>
      <c r="R263" s="216"/>
      <c r="S263" s="216"/>
      <c r="T263" s="216"/>
      <c r="U263" s="143"/>
    </row>
    <row r="264" spans="1:21" ht="14.25" x14ac:dyDescent="0.2">
      <c r="A264" s="143"/>
      <c r="B264" s="143"/>
      <c r="C264" s="162"/>
      <c r="D264" s="162"/>
      <c r="E264" s="223"/>
      <c r="F264" s="223"/>
      <c r="G264" s="143"/>
      <c r="H264" s="216"/>
      <c r="I264" s="216"/>
      <c r="J264" s="216"/>
      <c r="K264" s="216"/>
      <c r="L264" s="216"/>
      <c r="M264" s="216"/>
      <c r="N264" s="216"/>
      <c r="O264" s="216"/>
      <c r="P264" s="216"/>
      <c r="Q264" s="216"/>
      <c r="R264" s="216"/>
      <c r="S264" s="216"/>
      <c r="T264" s="216"/>
      <c r="U264" s="143"/>
    </row>
    <row r="265" spans="1:21" ht="14.25" x14ac:dyDescent="0.2">
      <c r="A265" s="143"/>
      <c r="B265" s="143"/>
      <c r="C265" s="162"/>
      <c r="D265" s="162"/>
      <c r="E265" s="223"/>
      <c r="F265" s="223"/>
      <c r="G265" s="143"/>
      <c r="H265" s="216"/>
      <c r="I265" s="216"/>
      <c r="J265" s="216"/>
      <c r="K265" s="216"/>
      <c r="L265" s="216"/>
      <c r="M265" s="216"/>
      <c r="N265" s="216"/>
      <c r="O265" s="216"/>
      <c r="P265" s="216"/>
      <c r="Q265" s="216"/>
      <c r="R265" s="216"/>
      <c r="S265" s="216"/>
      <c r="T265" s="216"/>
      <c r="U265" s="143"/>
    </row>
    <row r="266" spans="1:21" ht="14.25" x14ac:dyDescent="0.2">
      <c r="A266" s="143"/>
      <c r="B266" s="143"/>
      <c r="C266" s="162"/>
      <c r="D266" s="162"/>
      <c r="E266" s="223"/>
      <c r="F266" s="223"/>
      <c r="G266" s="143"/>
      <c r="H266" s="216"/>
      <c r="I266" s="216"/>
      <c r="J266" s="216"/>
      <c r="K266" s="216"/>
      <c r="L266" s="216"/>
      <c r="M266" s="216"/>
      <c r="N266" s="216"/>
      <c r="O266" s="216"/>
      <c r="P266" s="216"/>
      <c r="Q266" s="216"/>
      <c r="R266" s="216"/>
      <c r="S266" s="216"/>
      <c r="T266" s="216"/>
      <c r="U266" s="143"/>
    </row>
    <row r="267" spans="1:21" ht="14.25" x14ac:dyDescent="0.2">
      <c r="A267" s="143"/>
      <c r="B267" s="143"/>
      <c r="C267" s="162"/>
      <c r="D267" s="162"/>
      <c r="E267" s="223"/>
      <c r="F267" s="223"/>
      <c r="G267" s="143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216"/>
      <c r="T267" s="216"/>
      <c r="U267" s="143"/>
    </row>
    <row r="268" spans="1:21" ht="14.25" x14ac:dyDescent="0.2">
      <c r="A268" s="143"/>
      <c r="B268" s="143"/>
      <c r="C268" s="162"/>
      <c r="D268" s="162"/>
      <c r="E268" s="223"/>
      <c r="F268" s="223"/>
      <c r="G268" s="143"/>
      <c r="H268" s="216"/>
      <c r="I268" s="216"/>
      <c r="J268" s="216"/>
      <c r="K268" s="216"/>
      <c r="L268" s="216"/>
      <c r="M268" s="216"/>
      <c r="N268" s="216"/>
      <c r="O268" s="216"/>
      <c r="P268" s="216"/>
      <c r="Q268" s="216"/>
      <c r="R268" s="216"/>
      <c r="S268" s="216"/>
      <c r="T268" s="216"/>
      <c r="U268" s="143"/>
    </row>
    <row r="269" spans="1:21" ht="14.25" x14ac:dyDescent="0.2">
      <c r="A269" s="143"/>
      <c r="B269" s="143"/>
      <c r="C269" s="162"/>
      <c r="D269" s="162"/>
      <c r="E269" s="223"/>
      <c r="F269" s="223"/>
      <c r="G269" s="143"/>
      <c r="H269" s="216"/>
      <c r="I269" s="216"/>
      <c r="J269" s="216"/>
      <c r="K269" s="216"/>
      <c r="L269" s="216"/>
      <c r="M269" s="216"/>
      <c r="N269" s="216"/>
      <c r="O269" s="216"/>
      <c r="P269" s="216"/>
      <c r="Q269" s="216"/>
      <c r="R269" s="216"/>
      <c r="S269" s="216"/>
      <c r="T269" s="216"/>
      <c r="U269" s="143"/>
    </row>
    <row r="270" spans="1:21" ht="14.25" x14ac:dyDescent="0.2">
      <c r="A270" s="143"/>
      <c r="B270" s="143"/>
      <c r="C270" s="162"/>
      <c r="D270" s="162"/>
      <c r="E270" s="163"/>
      <c r="F270" s="163"/>
      <c r="G270" s="143"/>
      <c r="H270" s="216"/>
      <c r="I270" s="216"/>
      <c r="J270" s="216"/>
      <c r="K270" s="216"/>
      <c r="L270" s="216"/>
      <c r="M270" s="216"/>
      <c r="N270" s="216"/>
      <c r="O270" s="216"/>
      <c r="P270" s="216"/>
      <c r="Q270" s="216"/>
      <c r="R270" s="216"/>
      <c r="S270" s="216"/>
      <c r="T270" s="216"/>
      <c r="U270" s="143"/>
    </row>
    <row r="271" spans="1:21" ht="14.25" x14ac:dyDescent="0.2">
      <c r="A271" s="143"/>
      <c r="B271" s="143"/>
      <c r="C271" s="162"/>
      <c r="D271" s="162"/>
      <c r="E271" s="163"/>
      <c r="F271" s="163"/>
      <c r="G271" s="143"/>
      <c r="H271" s="216"/>
      <c r="I271" s="216"/>
      <c r="J271" s="216"/>
      <c r="K271" s="216"/>
      <c r="L271" s="216"/>
      <c r="M271" s="216"/>
      <c r="N271" s="216"/>
      <c r="O271" s="216"/>
      <c r="P271" s="216"/>
      <c r="Q271" s="216"/>
      <c r="R271" s="216"/>
      <c r="S271" s="216"/>
      <c r="T271" s="216"/>
      <c r="U271" s="143"/>
    </row>
    <row r="272" spans="1:21" ht="14.25" x14ac:dyDescent="0.2">
      <c r="A272" s="143"/>
      <c r="B272" s="143"/>
      <c r="C272" s="162"/>
      <c r="D272" s="162"/>
      <c r="E272" s="163"/>
      <c r="F272" s="163"/>
      <c r="G272" s="143"/>
      <c r="H272" s="216"/>
      <c r="I272" s="216"/>
      <c r="J272" s="216"/>
      <c r="K272" s="216"/>
      <c r="L272" s="216"/>
      <c r="M272" s="216"/>
      <c r="N272" s="216"/>
      <c r="O272" s="216"/>
      <c r="P272" s="216"/>
      <c r="Q272" s="216"/>
      <c r="R272" s="216"/>
      <c r="S272" s="216"/>
      <c r="T272" s="216"/>
      <c r="U272" s="143"/>
    </row>
    <row r="273" spans="1:21" ht="14.25" x14ac:dyDescent="0.2">
      <c r="A273" s="143"/>
      <c r="B273" s="143"/>
      <c r="C273" s="162"/>
      <c r="D273" s="162"/>
      <c r="E273" s="163"/>
      <c r="F273" s="163"/>
      <c r="G273" s="143"/>
      <c r="H273" s="216"/>
      <c r="I273" s="216"/>
      <c r="J273" s="216"/>
      <c r="K273" s="216"/>
      <c r="L273" s="216"/>
      <c r="M273" s="216"/>
      <c r="N273" s="216"/>
      <c r="O273" s="216"/>
      <c r="P273" s="216"/>
      <c r="Q273" s="216"/>
      <c r="R273" s="216"/>
      <c r="S273" s="216"/>
      <c r="T273" s="216"/>
      <c r="U273" s="143"/>
    </row>
    <row r="274" spans="1:21" ht="12.75" customHeight="1" x14ac:dyDescent="0.2">
      <c r="A274" s="143"/>
      <c r="B274" s="143"/>
      <c r="C274" s="162"/>
      <c r="D274" s="162"/>
      <c r="E274" s="163"/>
      <c r="F274" s="163"/>
      <c r="G274" s="143"/>
      <c r="H274" s="216"/>
      <c r="I274" s="216"/>
      <c r="J274" s="216"/>
      <c r="K274" s="216"/>
      <c r="L274" s="216"/>
      <c r="M274" s="216"/>
      <c r="N274" s="216"/>
      <c r="O274" s="216"/>
      <c r="P274" s="216"/>
      <c r="Q274" s="216"/>
      <c r="R274" s="216"/>
      <c r="S274" s="216"/>
      <c r="T274" s="216"/>
      <c r="U274" s="143"/>
    </row>
    <row r="275" spans="1:21" ht="12.75" customHeight="1" x14ac:dyDescent="0.2">
      <c r="A275" s="143"/>
      <c r="B275" s="143"/>
      <c r="C275" s="162"/>
      <c r="D275" s="162"/>
      <c r="E275" s="163"/>
      <c r="F275" s="163"/>
      <c r="G275" s="143"/>
      <c r="H275" s="216"/>
      <c r="I275" s="216"/>
      <c r="J275" s="216"/>
      <c r="K275" s="216"/>
      <c r="L275" s="216"/>
      <c r="M275" s="216"/>
      <c r="N275" s="216"/>
      <c r="O275" s="216"/>
      <c r="P275" s="216"/>
      <c r="Q275" s="216"/>
      <c r="R275" s="216"/>
      <c r="S275" s="216"/>
      <c r="T275" s="216"/>
      <c r="U275" s="143"/>
    </row>
    <row r="276" spans="1:21" ht="14.25" x14ac:dyDescent="0.2">
      <c r="A276" s="143"/>
      <c r="B276" s="143"/>
      <c r="C276" s="162"/>
      <c r="D276" s="162"/>
      <c r="E276" s="163"/>
      <c r="F276" s="163"/>
      <c r="G276" s="143"/>
      <c r="H276" s="216"/>
      <c r="I276" s="216"/>
      <c r="J276" s="216"/>
      <c r="K276" s="216"/>
      <c r="L276" s="216"/>
      <c r="M276" s="216"/>
      <c r="N276" s="216"/>
      <c r="O276" s="216"/>
      <c r="P276" s="216"/>
      <c r="Q276" s="216"/>
      <c r="R276" s="216"/>
      <c r="S276" s="216"/>
      <c r="T276" s="216"/>
      <c r="U276" s="143"/>
    </row>
    <row r="277" spans="1:21" ht="12.75" customHeight="1" x14ac:dyDescent="0.2">
      <c r="A277" s="143"/>
      <c r="B277" s="143"/>
      <c r="C277" s="162"/>
      <c r="D277" s="162"/>
      <c r="E277" s="163"/>
      <c r="F277" s="163"/>
      <c r="G277" s="143"/>
      <c r="H277" s="216"/>
      <c r="I277" s="216"/>
      <c r="J277" s="216"/>
      <c r="K277" s="216"/>
      <c r="L277" s="216"/>
      <c r="M277" s="216"/>
      <c r="N277" s="216"/>
      <c r="O277" s="216"/>
      <c r="P277" s="216"/>
      <c r="Q277" s="216"/>
      <c r="R277" s="216"/>
      <c r="S277" s="216"/>
      <c r="T277" s="216"/>
      <c r="U277" s="143"/>
    </row>
    <row r="278" spans="1:21" ht="12.75" customHeight="1" x14ac:dyDescent="0.2">
      <c r="A278" s="143"/>
      <c r="B278" s="143"/>
      <c r="C278" s="162"/>
      <c r="D278" s="162"/>
      <c r="E278" s="163"/>
      <c r="F278" s="163"/>
      <c r="G278" s="143"/>
      <c r="H278" s="216"/>
      <c r="I278" s="216"/>
      <c r="J278" s="216"/>
      <c r="K278" s="216"/>
      <c r="L278" s="216"/>
      <c r="M278" s="216"/>
      <c r="N278" s="216"/>
      <c r="O278" s="216"/>
      <c r="P278" s="216"/>
      <c r="Q278" s="216"/>
      <c r="R278" s="216"/>
      <c r="S278" s="216"/>
      <c r="T278" s="216"/>
      <c r="U278" s="143"/>
    </row>
    <row r="279" spans="1:21" ht="14.25" x14ac:dyDescent="0.2">
      <c r="A279" s="143"/>
      <c r="B279" s="143"/>
      <c r="C279" s="162"/>
      <c r="D279" s="162"/>
      <c r="E279" s="163"/>
      <c r="F279" s="163"/>
      <c r="G279" s="143"/>
      <c r="H279" s="216"/>
      <c r="I279" s="216"/>
      <c r="J279" s="216"/>
      <c r="K279" s="216"/>
      <c r="L279" s="216"/>
      <c r="M279" s="216"/>
      <c r="N279" s="216"/>
      <c r="O279" s="216"/>
      <c r="P279" s="216"/>
      <c r="Q279" s="216"/>
      <c r="R279" s="216"/>
      <c r="S279" s="216"/>
      <c r="T279" s="216"/>
      <c r="U279" s="143"/>
    </row>
    <row r="280" spans="1:21" ht="14.25" x14ac:dyDescent="0.2">
      <c r="A280" s="143"/>
      <c r="B280" s="143"/>
      <c r="C280" s="162"/>
      <c r="D280" s="162"/>
      <c r="E280" s="163"/>
      <c r="F280" s="163"/>
      <c r="G280" s="143"/>
      <c r="H280" s="216"/>
      <c r="I280" s="216"/>
      <c r="J280" s="216"/>
      <c r="K280" s="216"/>
      <c r="L280" s="216"/>
      <c r="M280" s="216"/>
      <c r="N280" s="216"/>
      <c r="O280" s="216"/>
      <c r="P280" s="216"/>
      <c r="Q280" s="216"/>
      <c r="R280" s="216"/>
      <c r="S280" s="216"/>
      <c r="T280" s="216"/>
      <c r="U280" s="143"/>
    </row>
    <row r="281" spans="1:21" ht="12.75" customHeight="1" x14ac:dyDescent="0.2">
      <c r="A281" s="143"/>
      <c r="B281" s="143"/>
      <c r="C281" s="162"/>
      <c r="D281" s="162"/>
      <c r="E281" s="163"/>
      <c r="F281" s="163"/>
      <c r="G281" s="143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216"/>
      <c r="T281" s="216"/>
      <c r="U281" s="143"/>
    </row>
    <row r="282" spans="1:21" ht="14.25" x14ac:dyDescent="0.2">
      <c r="A282" s="143"/>
      <c r="B282" s="143"/>
      <c r="C282" s="162"/>
      <c r="D282" s="162"/>
      <c r="E282" s="163"/>
      <c r="F282" s="163"/>
      <c r="G282" s="143"/>
      <c r="H282" s="216"/>
      <c r="I282" s="216"/>
      <c r="J282" s="216"/>
      <c r="K282" s="216"/>
      <c r="L282" s="216"/>
      <c r="M282" s="216"/>
      <c r="N282" s="216"/>
      <c r="O282" s="216"/>
      <c r="P282" s="216"/>
      <c r="Q282" s="216"/>
      <c r="R282" s="216"/>
      <c r="S282" s="216"/>
      <c r="T282" s="216"/>
      <c r="U282" s="143"/>
    </row>
    <row r="283" spans="1:21" ht="12.75" customHeight="1" x14ac:dyDescent="0.2">
      <c r="A283" s="143"/>
      <c r="B283" s="143"/>
      <c r="C283" s="162"/>
      <c r="D283" s="162"/>
      <c r="E283" s="163"/>
      <c r="F283" s="16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644" t="s">
        <v>423</v>
      </c>
      <c r="U283" s="644"/>
    </row>
  </sheetData>
  <dataConsolidate/>
  <mergeCells count="888">
    <mergeCell ref="D67:E67"/>
    <mergeCell ref="G67:I67"/>
    <mergeCell ref="G56:H56"/>
    <mergeCell ref="M56:N56"/>
    <mergeCell ref="T57:U57"/>
    <mergeCell ref="B15:G15"/>
    <mergeCell ref="L35:O35"/>
    <mergeCell ref="C43:K43"/>
    <mergeCell ref="C44:K44"/>
    <mergeCell ref="C45:K45"/>
    <mergeCell ref="C47:E47"/>
    <mergeCell ref="O47:P47"/>
    <mergeCell ref="B36:K36"/>
    <mergeCell ref="L36:O36"/>
    <mergeCell ref="P36:T36"/>
    <mergeCell ref="C37:G37"/>
    <mergeCell ref="B38:K38"/>
    <mergeCell ref="L38:O38"/>
    <mergeCell ref="P38:T38"/>
    <mergeCell ref="H34:I34"/>
    <mergeCell ref="J34:K34"/>
    <mergeCell ref="L34:M34"/>
    <mergeCell ref="N34:O34"/>
    <mergeCell ref="P34:R34"/>
    <mergeCell ref="S34:T34"/>
    <mergeCell ref="P32:R32"/>
    <mergeCell ref="S32:T32"/>
    <mergeCell ref="H33:I33"/>
    <mergeCell ref="J33:K33"/>
    <mergeCell ref="L33:M33"/>
    <mergeCell ref="N33:O33"/>
    <mergeCell ref="P33:R33"/>
    <mergeCell ref="S33:T33"/>
    <mergeCell ref="N29:O29"/>
    <mergeCell ref="B30:G30"/>
    <mergeCell ref="N30:O30"/>
    <mergeCell ref="N31:O31"/>
    <mergeCell ref="H32:I32"/>
    <mergeCell ref="J32:K32"/>
    <mergeCell ref="L32:M32"/>
    <mergeCell ref="N32:O32"/>
    <mergeCell ref="H28:I28"/>
    <mergeCell ref="J28:K28"/>
    <mergeCell ref="L28:M28"/>
    <mergeCell ref="N28:O28"/>
    <mergeCell ref="P28:R28"/>
    <mergeCell ref="S28:T28"/>
    <mergeCell ref="H27:I27"/>
    <mergeCell ref="J27:K27"/>
    <mergeCell ref="L27:M27"/>
    <mergeCell ref="N27:O27"/>
    <mergeCell ref="P27:R27"/>
    <mergeCell ref="S27:T27"/>
    <mergeCell ref="H26:I26"/>
    <mergeCell ref="J26:K26"/>
    <mergeCell ref="L26:M26"/>
    <mergeCell ref="N26:O26"/>
    <mergeCell ref="P26:R26"/>
    <mergeCell ref="S26:T26"/>
    <mergeCell ref="H25:I25"/>
    <mergeCell ref="J25:K25"/>
    <mergeCell ref="L25:M25"/>
    <mergeCell ref="N25:O25"/>
    <mergeCell ref="P25:R25"/>
    <mergeCell ref="S25:T25"/>
    <mergeCell ref="H24:I24"/>
    <mergeCell ref="J24:K24"/>
    <mergeCell ref="L24:M24"/>
    <mergeCell ref="N24:O24"/>
    <mergeCell ref="P24:R24"/>
    <mergeCell ref="S24:T24"/>
    <mergeCell ref="H23:I23"/>
    <mergeCell ref="J23:K23"/>
    <mergeCell ref="L23:M23"/>
    <mergeCell ref="N23:O23"/>
    <mergeCell ref="P23:R23"/>
    <mergeCell ref="S23:T23"/>
    <mergeCell ref="H22:I22"/>
    <mergeCell ref="J22:K22"/>
    <mergeCell ref="L22:M22"/>
    <mergeCell ref="N22:O22"/>
    <mergeCell ref="P22:R22"/>
    <mergeCell ref="S22:T22"/>
    <mergeCell ref="H21:I21"/>
    <mergeCell ref="J21:K21"/>
    <mergeCell ref="L21:M21"/>
    <mergeCell ref="N21:O21"/>
    <mergeCell ref="P21:R21"/>
    <mergeCell ref="S21:T21"/>
    <mergeCell ref="S18:T18"/>
    <mergeCell ref="H20:I20"/>
    <mergeCell ref="J20:K20"/>
    <mergeCell ref="L20:M20"/>
    <mergeCell ref="N20:O20"/>
    <mergeCell ref="P20:R20"/>
    <mergeCell ref="S20:T20"/>
    <mergeCell ref="B18:G18"/>
    <mergeCell ref="H18:I18"/>
    <mergeCell ref="J18:K18"/>
    <mergeCell ref="L18:M18"/>
    <mergeCell ref="N18:O18"/>
    <mergeCell ref="P18:R18"/>
    <mergeCell ref="H15:I15"/>
    <mergeCell ref="J15:K15"/>
    <mergeCell ref="L15:M15"/>
    <mergeCell ref="N15:O15"/>
    <mergeCell ref="P15:R15"/>
    <mergeCell ref="P16:R16"/>
    <mergeCell ref="S15:T15"/>
    <mergeCell ref="D10:E10"/>
    <mergeCell ref="O10:P10"/>
    <mergeCell ref="R10:S10"/>
    <mergeCell ref="D12:E12"/>
    <mergeCell ref="G12:I12"/>
    <mergeCell ref="O12:P12"/>
    <mergeCell ref="R12:S12"/>
    <mergeCell ref="G10:I10"/>
    <mergeCell ref="K5:M5"/>
    <mergeCell ref="D6:E6"/>
    <mergeCell ref="G6:H6"/>
    <mergeCell ref="O6:P6"/>
    <mergeCell ref="R6:S6"/>
    <mergeCell ref="D8:E8"/>
    <mergeCell ref="G8:H8"/>
    <mergeCell ref="O8:P8"/>
    <mergeCell ref="R8:S8"/>
    <mergeCell ref="J1:N1"/>
    <mergeCell ref="K2:M3"/>
    <mergeCell ref="O2:P2"/>
    <mergeCell ref="D4:E4"/>
    <mergeCell ref="G4:H4"/>
    <mergeCell ref="K4:M4"/>
    <mergeCell ref="O4:P4"/>
    <mergeCell ref="R4:S4"/>
    <mergeCell ref="B89:G89"/>
    <mergeCell ref="H89:I89"/>
    <mergeCell ref="P85:R85"/>
    <mergeCell ref="S85:T85"/>
    <mergeCell ref="B77:G77"/>
    <mergeCell ref="H79:I79"/>
    <mergeCell ref="J79:K79"/>
    <mergeCell ref="L79:M79"/>
    <mergeCell ref="N79:O79"/>
    <mergeCell ref="P79:R79"/>
    <mergeCell ref="S79:T79"/>
    <mergeCell ref="N73:O73"/>
    <mergeCell ref="P73:R73"/>
    <mergeCell ref="S73:T73"/>
    <mergeCell ref="S75:T75"/>
    <mergeCell ref="H74:I74"/>
    <mergeCell ref="H90:I90"/>
    <mergeCell ref="H103:I103"/>
    <mergeCell ref="H104:I104"/>
    <mergeCell ref="S104:T104"/>
    <mergeCell ref="J103:K103"/>
    <mergeCell ref="L103:M103"/>
    <mergeCell ref="N103:O103"/>
    <mergeCell ref="H102:I102"/>
    <mergeCell ref="H98:I98"/>
    <mergeCell ref="H94:I94"/>
    <mergeCell ref="H91:I91"/>
    <mergeCell ref="S103:T103"/>
    <mergeCell ref="J104:K104"/>
    <mergeCell ref="L104:M104"/>
    <mergeCell ref="N104:O104"/>
    <mergeCell ref="P104:R104"/>
    <mergeCell ref="P103:R103"/>
    <mergeCell ref="J102:K102"/>
    <mergeCell ref="L102:M102"/>
    <mergeCell ref="N102:O102"/>
    <mergeCell ref="P102:R102"/>
    <mergeCell ref="S102:T102"/>
    <mergeCell ref="H101:I101"/>
    <mergeCell ref="J101:K101"/>
    <mergeCell ref="L101:M101"/>
    <mergeCell ref="N101:O101"/>
    <mergeCell ref="P101:R101"/>
    <mergeCell ref="S101:T101"/>
    <mergeCell ref="H100:I100"/>
    <mergeCell ref="J100:K100"/>
    <mergeCell ref="L100:M100"/>
    <mergeCell ref="N100:O100"/>
    <mergeCell ref="P100:R100"/>
    <mergeCell ref="S100:T100"/>
    <mergeCell ref="J98:K98"/>
    <mergeCell ref="L98:M98"/>
    <mergeCell ref="N98:O98"/>
    <mergeCell ref="P98:R98"/>
    <mergeCell ref="P95:R95"/>
    <mergeCell ref="S98:T98"/>
    <mergeCell ref="H97:I97"/>
    <mergeCell ref="J97:K97"/>
    <mergeCell ref="L97:M97"/>
    <mergeCell ref="N97:O97"/>
    <mergeCell ref="P97:R97"/>
    <mergeCell ref="S97:T97"/>
    <mergeCell ref="S93:T93"/>
    <mergeCell ref="N93:O93"/>
    <mergeCell ref="P93:R93"/>
    <mergeCell ref="H96:I96"/>
    <mergeCell ref="J96:K96"/>
    <mergeCell ref="L96:M96"/>
    <mergeCell ref="N96:O96"/>
    <mergeCell ref="P96:R96"/>
    <mergeCell ref="H93:I93"/>
    <mergeCell ref="J93:K93"/>
    <mergeCell ref="N85:O85"/>
    <mergeCell ref="S105:T105"/>
    <mergeCell ref="J106:K106"/>
    <mergeCell ref="L106:M106"/>
    <mergeCell ref="L93:M93"/>
    <mergeCell ref="H87:I87"/>
    <mergeCell ref="J87:K87"/>
    <mergeCell ref="L87:M87"/>
    <mergeCell ref="N87:O87"/>
    <mergeCell ref="P87:R87"/>
    <mergeCell ref="S87:T87"/>
    <mergeCell ref="H86:I86"/>
    <mergeCell ref="J86:K86"/>
    <mergeCell ref="L86:M86"/>
    <mergeCell ref="N86:O86"/>
    <mergeCell ref="P86:R86"/>
    <mergeCell ref="S86:T86"/>
    <mergeCell ref="J91:K91"/>
    <mergeCell ref="S92:T92"/>
    <mergeCell ref="J94:K94"/>
    <mergeCell ref="L94:M94"/>
    <mergeCell ref="N94:O94"/>
    <mergeCell ref="P94:R94"/>
    <mergeCell ref="S94:T94"/>
    <mergeCell ref="N198:O198"/>
    <mergeCell ref="P198:R198"/>
    <mergeCell ref="S198:T198"/>
    <mergeCell ref="S168:T168"/>
    <mergeCell ref="T112:U112"/>
    <mergeCell ref="N82:O82"/>
    <mergeCell ref="B83:G83"/>
    <mergeCell ref="N83:O83"/>
    <mergeCell ref="N84:O84"/>
    <mergeCell ref="H85:I85"/>
    <mergeCell ref="J85:K85"/>
    <mergeCell ref="L85:M85"/>
    <mergeCell ref="L91:M91"/>
    <mergeCell ref="N91:O91"/>
    <mergeCell ref="H92:I92"/>
    <mergeCell ref="J92:K92"/>
    <mergeCell ref="L92:M92"/>
    <mergeCell ref="N92:O92"/>
    <mergeCell ref="P91:R91"/>
    <mergeCell ref="S91:T91"/>
    <mergeCell ref="H95:I95"/>
    <mergeCell ref="J95:K95"/>
    <mergeCell ref="L95:M95"/>
    <mergeCell ref="N95:O95"/>
    <mergeCell ref="H138:I138"/>
    <mergeCell ref="J138:K138"/>
    <mergeCell ref="L138:M138"/>
    <mergeCell ref="P156:R156"/>
    <mergeCell ref="S157:T157"/>
    <mergeCell ref="N157:O157"/>
    <mergeCell ref="N197:O197"/>
    <mergeCell ref="P197:R197"/>
    <mergeCell ref="S197:T197"/>
    <mergeCell ref="H197:I197"/>
    <mergeCell ref="S138:T138"/>
    <mergeCell ref="S125:T125"/>
    <mergeCell ref="S126:T126"/>
    <mergeCell ref="N127:O127"/>
    <mergeCell ref="P127:R127"/>
    <mergeCell ref="S127:T127"/>
    <mergeCell ref="S124:T124"/>
    <mergeCell ref="N122:O122"/>
    <mergeCell ref="P122:R122"/>
    <mergeCell ref="N138:O138"/>
    <mergeCell ref="P138:R138"/>
    <mergeCell ref="N124:O124"/>
    <mergeCell ref="N123:O123"/>
    <mergeCell ref="N129:O129"/>
    <mergeCell ref="P129:R129"/>
    <mergeCell ref="S129:T129"/>
    <mergeCell ref="L123:M123"/>
    <mergeCell ref="H125:I125"/>
    <mergeCell ref="J125:K125"/>
    <mergeCell ref="H129:I129"/>
    <mergeCell ref="J129:K129"/>
    <mergeCell ref="L129:M129"/>
    <mergeCell ref="L125:M125"/>
    <mergeCell ref="N125:O125"/>
    <mergeCell ref="P125:R125"/>
    <mergeCell ref="H126:I126"/>
    <mergeCell ref="J126:K126"/>
    <mergeCell ref="L126:M126"/>
    <mergeCell ref="N126:O126"/>
    <mergeCell ref="P126:R126"/>
    <mergeCell ref="H127:I127"/>
    <mergeCell ref="J127:K127"/>
    <mergeCell ref="L127:M127"/>
    <mergeCell ref="H198:I198"/>
    <mergeCell ref="J198:K198"/>
    <mergeCell ref="L198:M198"/>
    <mergeCell ref="H155:I155"/>
    <mergeCell ref="J155:K155"/>
    <mergeCell ref="L155:M155"/>
    <mergeCell ref="H151:I151"/>
    <mergeCell ref="J151:K151"/>
    <mergeCell ref="L151:M151"/>
    <mergeCell ref="H158:I158"/>
    <mergeCell ref="J158:K158"/>
    <mergeCell ref="L158:M158"/>
    <mergeCell ref="H159:I159"/>
    <mergeCell ref="J159:K159"/>
    <mergeCell ref="L159:M159"/>
    <mergeCell ref="J197:K197"/>
    <mergeCell ref="L197:M197"/>
    <mergeCell ref="H160:I160"/>
    <mergeCell ref="J160:K160"/>
    <mergeCell ref="L160:M160"/>
    <mergeCell ref="H169:I169"/>
    <mergeCell ref="J183:K183"/>
    <mergeCell ref="L183:M183"/>
    <mergeCell ref="R67:S67"/>
    <mergeCell ref="R69:S69"/>
    <mergeCell ref="H72:I72"/>
    <mergeCell ref="J72:K72"/>
    <mergeCell ref="L72:M72"/>
    <mergeCell ref="N72:O72"/>
    <mergeCell ref="P72:R72"/>
    <mergeCell ref="S72:T72"/>
    <mergeCell ref="H73:I73"/>
    <mergeCell ref="J73:K73"/>
    <mergeCell ref="L73:M73"/>
    <mergeCell ref="J58:N58"/>
    <mergeCell ref="J59:N60"/>
    <mergeCell ref="G61:H61"/>
    <mergeCell ref="K61:M61"/>
    <mergeCell ref="R61:S61"/>
    <mergeCell ref="K62:M62"/>
    <mergeCell ref="G63:H63"/>
    <mergeCell ref="R63:S63"/>
    <mergeCell ref="G65:H65"/>
    <mergeCell ref="R65:S65"/>
    <mergeCell ref="N74:O74"/>
    <mergeCell ref="P74:R74"/>
    <mergeCell ref="S74:T74"/>
    <mergeCell ref="H75:I75"/>
    <mergeCell ref="J75:K75"/>
    <mergeCell ref="L75:M75"/>
    <mergeCell ref="N75:O75"/>
    <mergeCell ref="P75:R75"/>
    <mergeCell ref="L80:M80"/>
    <mergeCell ref="N80:O80"/>
    <mergeCell ref="P80:R80"/>
    <mergeCell ref="S80:T80"/>
    <mergeCell ref="J74:K74"/>
    <mergeCell ref="L74:M74"/>
    <mergeCell ref="H80:I80"/>
    <mergeCell ref="J80:K80"/>
    <mergeCell ref="H81:I81"/>
    <mergeCell ref="J81:K81"/>
    <mergeCell ref="B118:G118"/>
    <mergeCell ref="H120:I120"/>
    <mergeCell ref="J120:K120"/>
    <mergeCell ref="L120:M120"/>
    <mergeCell ref="N120:O120"/>
    <mergeCell ref="P120:R120"/>
    <mergeCell ref="S120:T120"/>
    <mergeCell ref="H106:I106"/>
    <mergeCell ref="H115:I115"/>
    <mergeCell ref="J115:K115"/>
    <mergeCell ref="L115:M115"/>
    <mergeCell ref="N115:O115"/>
    <mergeCell ref="P115:R115"/>
    <mergeCell ref="H105:I105"/>
    <mergeCell ref="S115:T115"/>
    <mergeCell ref="S95:T95"/>
    <mergeCell ref="S96:T96"/>
    <mergeCell ref="P92:R92"/>
    <mergeCell ref="L81:M81"/>
    <mergeCell ref="N81:O81"/>
    <mergeCell ref="P81:R81"/>
    <mergeCell ref="S81:T81"/>
    <mergeCell ref="J121:K121"/>
    <mergeCell ref="L121:M121"/>
    <mergeCell ref="H121:I121"/>
    <mergeCell ref="N121:O121"/>
    <mergeCell ref="P121:R121"/>
    <mergeCell ref="S121:T121"/>
    <mergeCell ref="H128:I128"/>
    <mergeCell ref="J128:K128"/>
    <mergeCell ref="L128:M128"/>
    <mergeCell ref="N128:O128"/>
    <mergeCell ref="P128:R128"/>
    <mergeCell ref="S128:T128"/>
    <mergeCell ref="H122:I122"/>
    <mergeCell ref="J122:K122"/>
    <mergeCell ref="L122:M122"/>
    <mergeCell ref="H124:I124"/>
    <mergeCell ref="J124:K124"/>
    <mergeCell ref="S122:T122"/>
    <mergeCell ref="P123:R123"/>
    <mergeCell ref="S123:T123"/>
    <mergeCell ref="P124:R124"/>
    <mergeCell ref="L124:M124"/>
    <mergeCell ref="H123:I123"/>
    <mergeCell ref="J123:K123"/>
    <mergeCell ref="H130:I130"/>
    <mergeCell ref="J130:K130"/>
    <mergeCell ref="L130:M130"/>
    <mergeCell ref="N130:O130"/>
    <mergeCell ref="P130:R130"/>
    <mergeCell ref="S130:T130"/>
    <mergeCell ref="H136:I136"/>
    <mergeCell ref="J136:K136"/>
    <mergeCell ref="L136:M136"/>
    <mergeCell ref="N136:O136"/>
    <mergeCell ref="P136:R136"/>
    <mergeCell ref="S136:T136"/>
    <mergeCell ref="H137:I137"/>
    <mergeCell ref="J137:K137"/>
    <mergeCell ref="L137:M137"/>
    <mergeCell ref="N137:O137"/>
    <mergeCell ref="P137:R137"/>
    <mergeCell ref="S137:T137"/>
    <mergeCell ref="H204:I204"/>
    <mergeCell ref="J204:K204"/>
    <mergeCell ref="L204:M204"/>
    <mergeCell ref="N204:O204"/>
    <mergeCell ref="P204:R204"/>
    <mergeCell ref="S204:T204"/>
    <mergeCell ref="H203:I203"/>
    <mergeCell ref="J203:K203"/>
    <mergeCell ref="L203:M203"/>
    <mergeCell ref="N203:O203"/>
    <mergeCell ref="P203:R203"/>
    <mergeCell ref="S203:T203"/>
    <mergeCell ref="H139:I139"/>
    <mergeCell ref="J139:K139"/>
    <mergeCell ref="L139:M139"/>
    <mergeCell ref="N139:O139"/>
    <mergeCell ref="P139:R139"/>
    <mergeCell ref="S139:T139"/>
    <mergeCell ref="B142:G142"/>
    <mergeCell ref="H144:I144"/>
    <mergeCell ref="J144:K144"/>
    <mergeCell ref="L144:M144"/>
    <mergeCell ref="N144:O144"/>
    <mergeCell ref="P144:R144"/>
    <mergeCell ref="S144:T144"/>
    <mergeCell ref="H140:I140"/>
    <mergeCell ref="J140:K140"/>
    <mergeCell ref="L140:M140"/>
    <mergeCell ref="N140:O140"/>
    <mergeCell ref="P140:R140"/>
    <mergeCell ref="S140:T140"/>
    <mergeCell ref="H145:I145"/>
    <mergeCell ref="J145:K145"/>
    <mergeCell ref="L145:M145"/>
    <mergeCell ref="N145:O145"/>
    <mergeCell ref="P145:R145"/>
    <mergeCell ref="S145:T145"/>
    <mergeCell ref="N146:O146"/>
    <mergeCell ref="P146:R146"/>
    <mergeCell ref="S146:T146"/>
    <mergeCell ref="H147:I147"/>
    <mergeCell ref="J147:K147"/>
    <mergeCell ref="L147:M147"/>
    <mergeCell ref="N147:O147"/>
    <mergeCell ref="P147:R147"/>
    <mergeCell ref="S147:T147"/>
    <mergeCell ref="H146:I146"/>
    <mergeCell ref="J146:K146"/>
    <mergeCell ref="L146:M146"/>
    <mergeCell ref="S148:T148"/>
    <mergeCell ref="H149:I149"/>
    <mergeCell ref="J149:K149"/>
    <mergeCell ref="L149:M149"/>
    <mergeCell ref="N149:O149"/>
    <mergeCell ref="P149:R149"/>
    <mergeCell ref="J148:K148"/>
    <mergeCell ref="L148:M148"/>
    <mergeCell ref="N148:O148"/>
    <mergeCell ref="P148:R148"/>
    <mergeCell ref="H148:I148"/>
    <mergeCell ref="N155:O155"/>
    <mergeCell ref="P155:R155"/>
    <mergeCell ref="S155:T155"/>
    <mergeCell ref="S151:T151"/>
    <mergeCell ref="N151:O151"/>
    <mergeCell ref="P151:R151"/>
    <mergeCell ref="L152:M152"/>
    <mergeCell ref="N152:O152"/>
    <mergeCell ref="P152:R152"/>
    <mergeCell ref="S152:T152"/>
    <mergeCell ref="N160:O160"/>
    <mergeCell ref="P160:R160"/>
    <mergeCell ref="S160:T160"/>
    <mergeCell ref="S156:T156"/>
    <mergeCell ref="H161:I161"/>
    <mergeCell ref="J161:K161"/>
    <mergeCell ref="L161:M161"/>
    <mergeCell ref="N161:O161"/>
    <mergeCell ref="P161:R161"/>
    <mergeCell ref="S161:T161"/>
    <mergeCell ref="P157:R157"/>
    <mergeCell ref="N156:O156"/>
    <mergeCell ref="H157:I157"/>
    <mergeCell ref="J157:K157"/>
    <mergeCell ref="L157:M157"/>
    <mergeCell ref="H156:I156"/>
    <mergeCell ref="J156:K156"/>
    <mergeCell ref="L156:M156"/>
    <mergeCell ref="N158:O158"/>
    <mergeCell ref="P158:R158"/>
    <mergeCell ref="S158:T158"/>
    <mergeCell ref="N159:O159"/>
    <mergeCell ref="P159:R159"/>
    <mergeCell ref="S159:T159"/>
    <mergeCell ref="B164:G164"/>
    <mergeCell ref="H166:I166"/>
    <mergeCell ref="J166:K166"/>
    <mergeCell ref="L166:M166"/>
    <mergeCell ref="N166:O166"/>
    <mergeCell ref="P166:R166"/>
    <mergeCell ref="H168:I168"/>
    <mergeCell ref="J168:K168"/>
    <mergeCell ref="L168:M168"/>
    <mergeCell ref="N168:O168"/>
    <mergeCell ref="P168:R168"/>
    <mergeCell ref="N169:O169"/>
    <mergeCell ref="P169:R169"/>
    <mergeCell ref="S169:T169"/>
    <mergeCell ref="B179:C179"/>
    <mergeCell ref="D179:G179"/>
    <mergeCell ref="T174:U174"/>
    <mergeCell ref="H176:I176"/>
    <mergeCell ref="J176:K176"/>
    <mergeCell ref="L176:M176"/>
    <mergeCell ref="N176:O176"/>
    <mergeCell ref="P176:R176"/>
    <mergeCell ref="S176:T176"/>
    <mergeCell ref="P177:R177"/>
    <mergeCell ref="J169:K169"/>
    <mergeCell ref="L169:M169"/>
    <mergeCell ref="N183:O183"/>
    <mergeCell ref="P183:R183"/>
    <mergeCell ref="S183:T183"/>
    <mergeCell ref="H184:I184"/>
    <mergeCell ref="J184:K184"/>
    <mergeCell ref="L184:M184"/>
    <mergeCell ref="N184:O184"/>
    <mergeCell ref="P184:R184"/>
    <mergeCell ref="S184:T184"/>
    <mergeCell ref="H183:I183"/>
    <mergeCell ref="H185:I185"/>
    <mergeCell ref="J185:K185"/>
    <mergeCell ref="L185:M185"/>
    <mergeCell ref="N185:O185"/>
    <mergeCell ref="P185:R185"/>
    <mergeCell ref="S185:T185"/>
    <mergeCell ref="H186:I186"/>
    <mergeCell ref="J186:K186"/>
    <mergeCell ref="L186:M186"/>
    <mergeCell ref="N186:O186"/>
    <mergeCell ref="P186:R186"/>
    <mergeCell ref="S186:T186"/>
    <mergeCell ref="H187:I187"/>
    <mergeCell ref="J187:K187"/>
    <mergeCell ref="L187:M187"/>
    <mergeCell ref="N187:O187"/>
    <mergeCell ref="P187:R187"/>
    <mergeCell ref="S187:T187"/>
    <mergeCell ref="H188:I188"/>
    <mergeCell ref="J188:K188"/>
    <mergeCell ref="L188:M188"/>
    <mergeCell ref="N188:O188"/>
    <mergeCell ref="P188:R188"/>
    <mergeCell ref="S188:T188"/>
    <mergeCell ref="H189:I189"/>
    <mergeCell ref="J189:K189"/>
    <mergeCell ref="L189:M189"/>
    <mergeCell ref="N189:O189"/>
    <mergeCell ref="P189:R189"/>
    <mergeCell ref="S189:T189"/>
    <mergeCell ref="H190:I190"/>
    <mergeCell ref="J190:K190"/>
    <mergeCell ref="L190:M190"/>
    <mergeCell ref="N190:O190"/>
    <mergeCell ref="P190:R190"/>
    <mergeCell ref="S190:T190"/>
    <mergeCell ref="H191:I191"/>
    <mergeCell ref="J191:K191"/>
    <mergeCell ref="L191:M191"/>
    <mergeCell ref="N191:O191"/>
    <mergeCell ref="P191:R191"/>
    <mergeCell ref="S191:T191"/>
    <mergeCell ref="H192:I192"/>
    <mergeCell ref="J192:K192"/>
    <mergeCell ref="L192:M192"/>
    <mergeCell ref="N192:O192"/>
    <mergeCell ref="P192:R192"/>
    <mergeCell ref="S192:T192"/>
    <mergeCell ref="H193:I193"/>
    <mergeCell ref="J193:K193"/>
    <mergeCell ref="L193:M193"/>
    <mergeCell ref="N193:O193"/>
    <mergeCell ref="P193:R193"/>
    <mergeCell ref="S193:T193"/>
    <mergeCell ref="H194:I194"/>
    <mergeCell ref="J194:K194"/>
    <mergeCell ref="L194:M194"/>
    <mergeCell ref="N194:O194"/>
    <mergeCell ref="P194:R194"/>
    <mergeCell ref="S194:T194"/>
    <mergeCell ref="H195:I195"/>
    <mergeCell ref="J195:K195"/>
    <mergeCell ref="L195:M195"/>
    <mergeCell ref="N195:O195"/>
    <mergeCell ref="P195:R195"/>
    <mergeCell ref="S195:T195"/>
    <mergeCell ref="H196:I196"/>
    <mergeCell ref="J196:K196"/>
    <mergeCell ref="L196:M196"/>
    <mergeCell ref="N196:O196"/>
    <mergeCell ref="P196:R196"/>
    <mergeCell ref="S196:T196"/>
    <mergeCell ref="H182:I182"/>
    <mergeCell ref="J182:K182"/>
    <mergeCell ref="L182:M182"/>
    <mergeCell ref="N182:O182"/>
    <mergeCell ref="P182:R182"/>
    <mergeCell ref="S182:T182"/>
    <mergeCell ref="H181:I181"/>
    <mergeCell ref="J181:K181"/>
    <mergeCell ref="L181:M181"/>
    <mergeCell ref="N181:O181"/>
    <mergeCell ref="P181:R181"/>
    <mergeCell ref="S181:T181"/>
    <mergeCell ref="H199:I199"/>
    <mergeCell ref="J199:K199"/>
    <mergeCell ref="L199:M199"/>
    <mergeCell ref="N199:O199"/>
    <mergeCell ref="P199:R199"/>
    <mergeCell ref="S199:T199"/>
    <mergeCell ref="H200:I200"/>
    <mergeCell ref="J200:K200"/>
    <mergeCell ref="L200:M200"/>
    <mergeCell ref="N200:O200"/>
    <mergeCell ref="P200:R200"/>
    <mergeCell ref="S200:T200"/>
    <mergeCell ref="H201:I201"/>
    <mergeCell ref="J201:K201"/>
    <mergeCell ref="L201:M201"/>
    <mergeCell ref="N201:O201"/>
    <mergeCell ref="P201:R201"/>
    <mergeCell ref="S201:T201"/>
    <mergeCell ref="H202:I202"/>
    <mergeCell ref="J202:K202"/>
    <mergeCell ref="L202:M202"/>
    <mergeCell ref="N202:O202"/>
    <mergeCell ref="P202:R202"/>
    <mergeCell ref="S202:T202"/>
    <mergeCell ref="H205:I205"/>
    <mergeCell ref="J205:K205"/>
    <mergeCell ref="L205:M205"/>
    <mergeCell ref="N205:O205"/>
    <mergeCell ref="P205:R205"/>
    <mergeCell ref="S205:T205"/>
    <mergeCell ref="H206:I206"/>
    <mergeCell ref="J206:K206"/>
    <mergeCell ref="L206:M206"/>
    <mergeCell ref="N206:O206"/>
    <mergeCell ref="P206:R206"/>
    <mergeCell ref="S206:T206"/>
    <mergeCell ref="H207:I207"/>
    <mergeCell ref="J207:K207"/>
    <mergeCell ref="L207:M207"/>
    <mergeCell ref="N207:O207"/>
    <mergeCell ref="P207:R207"/>
    <mergeCell ref="S207:T207"/>
    <mergeCell ref="H208:I208"/>
    <mergeCell ref="J208:K208"/>
    <mergeCell ref="L208:M208"/>
    <mergeCell ref="N208:O208"/>
    <mergeCell ref="P208:R208"/>
    <mergeCell ref="S208:T208"/>
    <mergeCell ref="H209:I209"/>
    <mergeCell ref="J209:K209"/>
    <mergeCell ref="L209:M209"/>
    <mergeCell ref="N209:O209"/>
    <mergeCell ref="P209:R209"/>
    <mergeCell ref="S209:T209"/>
    <mergeCell ref="H210:I210"/>
    <mergeCell ref="J210:K210"/>
    <mergeCell ref="L210:M210"/>
    <mergeCell ref="N210:O210"/>
    <mergeCell ref="P210:R210"/>
    <mergeCell ref="S210:T210"/>
    <mergeCell ref="H211:I211"/>
    <mergeCell ref="J211:K211"/>
    <mergeCell ref="L211:M211"/>
    <mergeCell ref="N211:O211"/>
    <mergeCell ref="P211:R211"/>
    <mergeCell ref="S211:T211"/>
    <mergeCell ref="H212:I212"/>
    <mergeCell ref="J212:K212"/>
    <mergeCell ref="L212:M212"/>
    <mergeCell ref="N212:O212"/>
    <mergeCell ref="P212:R212"/>
    <mergeCell ref="S212:T212"/>
    <mergeCell ref="N213:O213"/>
    <mergeCell ref="P213:R213"/>
    <mergeCell ref="S213:T213"/>
    <mergeCell ref="H214:I214"/>
    <mergeCell ref="J214:K214"/>
    <mergeCell ref="L214:M214"/>
    <mergeCell ref="N214:O214"/>
    <mergeCell ref="P214:R214"/>
    <mergeCell ref="S214:T214"/>
    <mergeCell ref="S217:T217"/>
    <mergeCell ref="H218:I218"/>
    <mergeCell ref="J218:K218"/>
    <mergeCell ref="L218:M218"/>
    <mergeCell ref="N218:O218"/>
    <mergeCell ref="P218:R218"/>
    <mergeCell ref="S218:T218"/>
    <mergeCell ref="J220:K220"/>
    <mergeCell ref="H215:I215"/>
    <mergeCell ref="J215:K215"/>
    <mergeCell ref="L215:M215"/>
    <mergeCell ref="N215:O215"/>
    <mergeCell ref="P215:R215"/>
    <mergeCell ref="S215:T215"/>
    <mergeCell ref="H216:I216"/>
    <mergeCell ref="J216:K216"/>
    <mergeCell ref="L216:M216"/>
    <mergeCell ref="N216:O216"/>
    <mergeCell ref="P216:R216"/>
    <mergeCell ref="S216:T216"/>
    <mergeCell ref="P220:R220"/>
    <mergeCell ref="S220:T220"/>
    <mergeCell ref="S219:T219"/>
    <mergeCell ref="H220:I220"/>
    <mergeCell ref="C234:G234"/>
    <mergeCell ref="H217:I217"/>
    <mergeCell ref="J217:K217"/>
    <mergeCell ref="L217:M217"/>
    <mergeCell ref="N217:O217"/>
    <mergeCell ref="P217:R217"/>
    <mergeCell ref="H219:I219"/>
    <mergeCell ref="J219:K219"/>
    <mergeCell ref="L219:M219"/>
    <mergeCell ref="N219:O219"/>
    <mergeCell ref="H222:I222"/>
    <mergeCell ref="J222:K222"/>
    <mergeCell ref="L222:M222"/>
    <mergeCell ref="N222:O222"/>
    <mergeCell ref="P222:R222"/>
    <mergeCell ref="H221:I221"/>
    <mergeCell ref="J221:K221"/>
    <mergeCell ref="L221:M221"/>
    <mergeCell ref="N221:O221"/>
    <mergeCell ref="P221:R221"/>
    <mergeCell ref="H224:I224"/>
    <mergeCell ref="J224:K224"/>
    <mergeCell ref="L224:M224"/>
    <mergeCell ref="N224:O224"/>
    <mergeCell ref="T228:U228"/>
    <mergeCell ref="H230:I230"/>
    <mergeCell ref="J230:K230"/>
    <mergeCell ref="L230:M230"/>
    <mergeCell ref="N230:O230"/>
    <mergeCell ref="P230:R230"/>
    <mergeCell ref="S230:T230"/>
    <mergeCell ref="S222:T222"/>
    <mergeCell ref="S221:T221"/>
    <mergeCell ref="P224:R224"/>
    <mergeCell ref="S224:T224"/>
    <mergeCell ref="H223:I223"/>
    <mergeCell ref="J223:K223"/>
    <mergeCell ref="L223:M223"/>
    <mergeCell ref="N223:O223"/>
    <mergeCell ref="P223:R223"/>
    <mergeCell ref="S223:T223"/>
    <mergeCell ref="S236:T236"/>
    <mergeCell ref="H235:I235"/>
    <mergeCell ref="J235:K235"/>
    <mergeCell ref="L235:M235"/>
    <mergeCell ref="N235:O235"/>
    <mergeCell ref="P235:R235"/>
    <mergeCell ref="S235:T235"/>
    <mergeCell ref="S238:T238"/>
    <mergeCell ref="H237:I237"/>
    <mergeCell ref="J237:K237"/>
    <mergeCell ref="L237:M237"/>
    <mergeCell ref="N237:O237"/>
    <mergeCell ref="P237:R237"/>
    <mergeCell ref="S237:T237"/>
    <mergeCell ref="H238:I238"/>
    <mergeCell ref="J238:K238"/>
    <mergeCell ref="L238:M238"/>
    <mergeCell ref="N238:O238"/>
    <mergeCell ref="P238:R238"/>
    <mergeCell ref="S240:T240"/>
    <mergeCell ref="H239:I239"/>
    <mergeCell ref="J239:K239"/>
    <mergeCell ref="L239:M239"/>
    <mergeCell ref="N239:O239"/>
    <mergeCell ref="P239:R239"/>
    <mergeCell ref="S239:T239"/>
    <mergeCell ref="H240:I240"/>
    <mergeCell ref="J240:K240"/>
    <mergeCell ref="L240:M240"/>
    <mergeCell ref="P240:R240"/>
    <mergeCell ref="S167:T167"/>
    <mergeCell ref="S166:T166"/>
    <mergeCell ref="T283:U283"/>
    <mergeCell ref="N240:O240"/>
    <mergeCell ref="H167:I167"/>
    <mergeCell ref="J167:K167"/>
    <mergeCell ref="L167:M167"/>
    <mergeCell ref="N167:O167"/>
    <mergeCell ref="P167:R167"/>
    <mergeCell ref="H236:I236"/>
    <mergeCell ref="J236:K236"/>
    <mergeCell ref="L236:M236"/>
    <mergeCell ref="N236:O236"/>
    <mergeCell ref="P236:R236"/>
    <mergeCell ref="S177:T177"/>
    <mergeCell ref="P231:R231"/>
    <mergeCell ref="S231:T231"/>
    <mergeCell ref="P219:R219"/>
    <mergeCell ref="B233:C233"/>
    <mergeCell ref="D233:G233"/>
    <mergeCell ref="H16:I16"/>
    <mergeCell ref="J16:K16"/>
    <mergeCell ref="L16:M16"/>
    <mergeCell ref="N16:O16"/>
    <mergeCell ref="H177:I177"/>
    <mergeCell ref="J177:K177"/>
    <mergeCell ref="L177:M177"/>
    <mergeCell ref="N177:O177"/>
    <mergeCell ref="H231:I231"/>
    <mergeCell ref="J231:K231"/>
    <mergeCell ref="L231:M231"/>
    <mergeCell ref="N231:O231"/>
    <mergeCell ref="H154:I154"/>
    <mergeCell ref="J154:K154"/>
    <mergeCell ref="L154:M154"/>
    <mergeCell ref="H152:I152"/>
    <mergeCell ref="J152:K152"/>
    <mergeCell ref="L220:M220"/>
    <mergeCell ref="N220:O220"/>
    <mergeCell ref="H213:I213"/>
    <mergeCell ref="J213:K213"/>
    <mergeCell ref="L213:M213"/>
    <mergeCell ref="S16:T16"/>
    <mergeCell ref="H116:I116"/>
    <mergeCell ref="J116:K116"/>
    <mergeCell ref="L116:M116"/>
    <mergeCell ref="N116:O116"/>
    <mergeCell ref="P116:R116"/>
    <mergeCell ref="S116:T116"/>
    <mergeCell ref="T113:U113"/>
    <mergeCell ref="L105:M105"/>
    <mergeCell ref="N106:O106"/>
    <mergeCell ref="P106:R106"/>
    <mergeCell ref="S106:T106"/>
    <mergeCell ref="J105:K105"/>
    <mergeCell ref="N105:O105"/>
    <mergeCell ref="P105:R105"/>
    <mergeCell ref="G55:H55"/>
    <mergeCell ref="M55:N55"/>
    <mergeCell ref="S149:T149"/>
    <mergeCell ref="N154:O154"/>
    <mergeCell ref="P154:R154"/>
    <mergeCell ref="S154:T154"/>
    <mergeCell ref="H153:I153"/>
    <mergeCell ref="J153:K153"/>
    <mergeCell ref="L153:M153"/>
    <mergeCell ref="N153:O153"/>
    <mergeCell ref="P153:R153"/>
    <mergeCell ref="S153:T153"/>
    <mergeCell ref="H150:I150"/>
    <mergeCell ref="J150:K150"/>
    <mergeCell ref="L150:M150"/>
    <mergeCell ref="N150:O150"/>
    <mergeCell ref="P150:R150"/>
    <mergeCell ref="S150:T150"/>
  </mergeCells>
  <conditionalFormatting sqref="G144 P228:S228 U150 U142:U143 P227:R227 H227:O228 H162:R165 H142:R143 U160:U165 U199:U216 G152 U152 U155 G155 H170:U173 U225:U227">
    <cfRule type="notContainsBlanks" dxfId="76" priority="71" stopIfTrue="1">
      <formula>LEN(TRIM(G142))&gt;0</formula>
    </cfRule>
  </conditionalFormatting>
  <conditionalFormatting sqref="G136">
    <cfRule type="notContainsBlanks" dxfId="75" priority="69" stopIfTrue="1">
      <formula>LEN(TRIM(G136))&gt;0</formula>
    </cfRule>
  </conditionalFormatting>
  <conditionalFormatting sqref="U166:U169">
    <cfRule type="notContainsBlanks" dxfId="74" priority="67" stopIfTrue="1">
      <formula>LEN(TRIM(U166))&gt;0</formula>
    </cfRule>
  </conditionalFormatting>
  <conditionalFormatting sqref="U144:U148">
    <cfRule type="notContainsBlanks" dxfId="73" priority="68" stopIfTrue="1">
      <formula>LEN(TRIM(U144))&gt;0</formula>
    </cfRule>
  </conditionalFormatting>
  <conditionalFormatting sqref="U195">
    <cfRule type="notContainsBlanks" dxfId="72" priority="66" stopIfTrue="1">
      <formula>LEN(TRIM(U195))&gt;0</formula>
    </cfRule>
  </conditionalFormatting>
  <conditionalFormatting sqref="G195">
    <cfRule type="notContainsBlanks" dxfId="71" priority="64" stopIfTrue="1">
      <formula>LEN(TRIM(G195))&gt;0</formula>
    </cfRule>
  </conditionalFormatting>
  <conditionalFormatting sqref="C234:D234">
    <cfRule type="notContainsBlanks" dxfId="70" priority="53" stopIfTrue="1">
      <formula>LEN(TRIM(C234))&gt;0</formula>
    </cfRule>
  </conditionalFormatting>
  <conditionalFormatting sqref="B164">
    <cfRule type="notContainsBlanks" dxfId="69" priority="49" stopIfTrue="1">
      <formula>LEN(TRIM(B164))&gt;0</formula>
    </cfRule>
  </conditionalFormatting>
  <conditionalFormatting sqref="B118">
    <cfRule type="notContainsBlanks" dxfId="68" priority="51" stopIfTrue="1">
      <formula>LEN(TRIM(B118))&gt;0</formula>
    </cfRule>
  </conditionalFormatting>
  <conditionalFormatting sqref="B142">
    <cfRule type="notContainsBlanks" dxfId="67" priority="50" stopIfTrue="1">
      <formula>LEN(TRIM(B142))&gt;0</formula>
    </cfRule>
  </conditionalFormatting>
  <conditionalFormatting sqref="B179">
    <cfRule type="notContainsBlanks" dxfId="66" priority="48" stopIfTrue="1">
      <formula>LEN(TRIM(B179))&gt;0</formula>
    </cfRule>
  </conditionalFormatting>
  <conditionalFormatting sqref="D179">
    <cfRule type="notContainsBlanks" dxfId="65" priority="46" stopIfTrue="1">
      <formula>LEN(TRIM(D179))&gt;0</formula>
    </cfRule>
  </conditionalFormatting>
  <conditionalFormatting sqref="S227:T227">
    <cfRule type="notContainsBlanks" dxfId="64" priority="44" stopIfTrue="1">
      <formula>LEN(TRIM(S227))&gt;0</formula>
    </cfRule>
  </conditionalFormatting>
  <conditionalFormatting sqref="S162:T165 S142:T143">
    <cfRule type="notContainsBlanks" dxfId="63" priority="43" stopIfTrue="1">
      <formula>LEN(TRIM(S142))&gt;0</formula>
    </cfRule>
  </conditionalFormatting>
  <conditionalFormatting sqref="U151">
    <cfRule type="notContainsBlanks" dxfId="62" priority="42" stopIfTrue="1">
      <formula>LEN(TRIM(U151))&gt;0</formula>
    </cfRule>
  </conditionalFormatting>
  <conditionalFormatting sqref="G156 U156">
    <cfRule type="notContainsBlanks" dxfId="61" priority="41" stopIfTrue="1">
      <formula>LEN(TRIM(G156))&gt;0</formula>
    </cfRule>
  </conditionalFormatting>
  <conditionalFormatting sqref="G159 U159">
    <cfRule type="notContainsBlanks" dxfId="60" priority="40" stopIfTrue="1">
      <formula>LEN(TRIM(G159))&gt;0</formula>
    </cfRule>
  </conditionalFormatting>
  <conditionalFormatting sqref="G157 U157">
    <cfRule type="notContainsBlanks" dxfId="59" priority="39" stopIfTrue="1">
      <formula>LEN(TRIM(G157))&gt;0</formula>
    </cfRule>
  </conditionalFormatting>
  <conditionalFormatting sqref="G158 U158">
    <cfRule type="notContainsBlanks" dxfId="58" priority="38" stopIfTrue="1">
      <formula>LEN(TRIM(G158))&gt;0</formula>
    </cfRule>
  </conditionalFormatting>
  <conditionalFormatting sqref="B77 B83">
    <cfRule type="notContainsBlanks" dxfId="57" priority="37" stopIfTrue="1">
      <formula>LEN(TRIM(B77))&gt;0</formula>
    </cfRule>
  </conditionalFormatting>
  <conditionalFormatting sqref="B89">
    <cfRule type="notContainsBlanks" dxfId="56" priority="33" stopIfTrue="1">
      <formula>LEN(TRIM(B89))&gt;0</formula>
    </cfRule>
  </conditionalFormatting>
  <conditionalFormatting sqref="U100">
    <cfRule type="notContainsBlanks" dxfId="55" priority="35" stopIfTrue="1">
      <formula>LEN(TRIM(U100))&gt;0</formula>
    </cfRule>
  </conditionalFormatting>
  <conditionalFormatting sqref="U101">
    <cfRule type="notContainsBlanks" dxfId="54" priority="34" stopIfTrue="1">
      <formula>LEN(TRIM(U101))&gt;0</formula>
    </cfRule>
  </conditionalFormatting>
  <conditionalFormatting sqref="T2">
    <cfRule type="containsBlanks" dxfId="53" priority="20" stopIfTrue="1">
      <formula>LEN(TRIM(T2))=0</formula>
    </cfRule>
  </conditionalFormatting>
  <conditionalFormatting sqref="M45">
    <cfRule type="containsBlanks" dxfId="52" priority="19" stopIfTrue="1">
      <formula>LEN(TRIM(M45))=0</formula>
    </cfRule>
  </conditionalFormatting>
  <conditionalFormatting sqref="B18">
    <cfRule type="notContainsBlanks" dxfId="51" priority="18" stopIfTrue="1">
      <formula>LEN(TRIM(B18))&gt;0</formula>
    </cfRule>
  </conditionalFormatting>
  <conditionalFormatting sqref="B30">
    <cfRule type="notContainsBlanks" dxfId="50" priority="17" stopIfTrue="1">
      <formula>LEN(TRIM(B30))&gt;0</formula>
    </cfRule>
  </conditionalFormatting>
  <conditionalFormatting sqref="L36">
    <cfRule type="notContainsBlanks" dxfId="49" priority="14" stopIfTrue="1">
      <formula>LEN(TRIM(L36))&gt;0</formula>
    </cfRule>
  </conditionalFormatting>
  <conditionalFormatting sqref="L38">
    <cfRule type="notContainsBlanks" dxfId="48" priority="13" stopIfTrue="1">
      <formula>LEN(TRIM(L38))&gt;0</formula>
    </cfRule>
  </conditionalFormatting>
  <conditionalFormatting sqref="P38">
    <cfRule type="notContainsBlanks" dxfId="47" priority="12" stopIfTrue="1">
      <formula>LEN(TRIM(P38))&gt;0</formula>
    </cfRule>
  </conditionalFormatting>
  <conditionalFormatting sqref="P36">
    <cfRule type="notContainsBlanks" dxfId="46" priority="11" stopIfTrue="1">
      <formula>LEN(TRIM(P36))&gt;0</formula>
    </cfRule>
  </conditionalFormatting>
  <conditionalFormatting sqref="B36">
    <cfRule type="notContainsBlanks" dxfId="45" priority="9" stopIfTrue="1">
      <formula>LEN(TRIM(B36))&gt;0</formula>
    </cfRule>
  </conditionalFormatting>
  <conditionalFormatting sqref="B38">
    <cfRule type="notContainsBlanks" dxfId="44" priority="8" stopIfTrue="1">
      <formula>LEN(TRIM(B38))&gt;0</formula>
    </cfRule>
  </conditionalFormatting>
  <conditionalFormatting sqref="B233">
    <cfRule type="notContainsBlanks" dxfId="43" priority="5" stopIfTrue="1">
      <formula>LEN(TRIM(B233))&gt;0</formula>
    </cfRule>
  </conditionalFormatting>
  <conditionalFormatting sqref="D233">
    <cfRule type="notContainsBlanks" dxfId="42" priority="4" stopIfTrue="1">
      <formula>LEN(TRIM(D233))&gt;0</formula>
    </cfRule>
  </conditionalFormatting>
  <conditionalFormatting sqref="G153 U153">
    <cfRule type="notContainsBlanks" dxfId="41" priority="3" stopIfTrue="1">
      <formula>LEN(TRIM(G153))&gt;0</formula>
    </cfRule>
  </conditionalFormatting>
  <conditionalFormatting sqref="G154 U154">
    <cfRule type="notContainsBlanks" dxfId="40" priority="2" stopIfTrue="1">
      <formula>LEN(TRIM(G154))&gt;0</formula>
    </cfRule>
  </conditionalFormatting>
  <conditionalFormatting sqref="T59">
    <cfRule type="containsBlanks" dxfId="39" priority="1" stopIfTrue="1">
      <formula>LEN(TRIM(T59))=0</formula>
    </cfRule>
  </conditionalFormatting>
  <printOptions horizontalCentered="1" verticalCentered="1"/>
  <pageMargins left="0" right="0" top="0" bottom="0" header="0" footer="0"/>
  <pageSetup paperSize="9" scale="76" fitToHeight="0" orientation="landscape" r:id="rId1"/>
  <rowBreaks count="4" manualBreakCount="4">
    <brk id="57" max="20" man="1"/>
    <brk id="113" max="20" man="1"/>
    <brk id="174" max="16383" man="1"/>
    <brk id="228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5" tint="0.39997558519241921"/>
  </sheetPr>
  <dimension ref="A1:AR70"/>
  <sheetViews>
    <sheetView topLeftCell="V22" zoomScaleNormal="100" zoomScaleSheetLayoutView="85" workbookViewId="0">
      <selection activeCell="AG38" sqref="AG38:AL57"/>
    </sheetView>
    <sheetView workbookViewId="1"/>
  </sheetViews>
  <sheetFormatPr defaultColWidth="11.42578125" defaultRowHeight="12.75" x14ac:dyDescent="0.2"/>
  <cols>
    <col min="1" max="1" width="3.7109375" customWidth="1"/>
    <col min="2" max="3" width="10.7109375" customWidth="1"/>
    <col min="4" max="4" width="11.7109375" customWidth="1"/>
    <col min="5" max="5" width="1.7109375" customWidth="1"/>
    <col min="6" max="6" width="12.7109375" customWidth="1"/>
    <col min="7" max="9" width="10.7109375" customWidth="1"/>
    <col min="10" max="11" width="12.7109375" customWidth="1"/>
    <col min="12" max="12" width="1.7109375" customWidth="1"/>
    <col min="13" max="13" width="9.7109375" customWidth="1"/>
    <col min="14" max="14" width="10.7109375" customWidth="1"/>
    <col min="15" max="16" width="3.7109375" customWidth="1"/>
    <col min="17" max="18" width="10.7109375" customWidth="1"/>
    <col min="19" max="19" width="11.7109375" customWidth="1"/>
    <col min="20" max="20" width="1.7109375" customWidth="1"/>
    <col min="21" max="21" width="12.7109375" customWidth="1"/>
    <col min="22" max="24" width="10.7109375" customWidth="1"/>
    <col min="25" max="26" width="12.7109375" customWidth="1"/>
    <col min="27" max="27" width="1.7109375" customWidth="1"/>
    <col min="28" max="28" width="9.7109375" customWidth="1"/>
    <col min="29" max="29" width="10.7109375" customWidth="1"/>
    <col min="30" max="31" width="3.7109375" customWidth="1"/>
  </cols>
  <sheetData>
    <row r="1" spans="1:44" ht="12.75" customHeight="1" thickTop="1" x14ac:dyDescent="0.2">
      <c r="B1" s="734" t="s">
        <v>528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6"/>
      <c r="Q1" s="734" t="s">
        <v>528</v>
      </c>
      <c r="R1" s="735"/>
      <c r="S1" s="735"/>
      <c r="T1" s="735"/>
      <c r="U1" s="735"/>
      <c r="V1" s="735"/>
      <c r="W1" s="735"/>
      <c r="X1" s="735"/>
      <c r="Y1" s="735"/>
      <c r="Z1" s="735"/>
      <c r="AA1" s="735"/>
      <c r="AB1" s="735"/>
      <c r="AC1" s="736"/>
      <c r="AF1" s="734" t="s">
        <v>528</v>
      </c>
      <c r="AG1" s="735"/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6"/>
    </row>
    <row r="2" spans="1:44" ht="12.75" customHeight="1" x14ac:dyDescent="0.2">
      <c r="B2" s="737"/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9"/>
      <c r="Q2" s="737"/>
      <c r="R2" s="738"/>
      <c r="S2" s="738"/>
      <c r="T2" s="738"/>
      <c r="U2" s="738"/>
      <c r="V2" s="738"/>
      <c r="W2" s="738"/>
      <c r="X2" s="738"/>
      <c r="Y2" s="738"/>
      <c r="Z2" s="738"/>
      <c r="AA2" s="738"/>
      <c r="AB2" s="738"/>
      <c r="AC2" s="739"/>
      <c r="AF2" s="737"/>
      <c r="AG2" s="738"/>
      <c r="AH2" s="738"/>
      <c r="AI2" s="738"/>
      <c r="AJ2" s="738"/>
      <c r="AK2" s="738"/>
      <c r="AL2" s="738"/>
      <c r="AM2" s="738"/>
      <c r="AN2" s="738"/>
      <c r="AO2" s="738"/>
      <c r="AP2" s="738"/>
      <c r="AQ2" s="738"/>
      <c r="AR2" s="739"/>
    </row>
    <row r="3" spans="1:44" ht="12.75" customHeight="1" x14ac:dyDescent="0.2">
      <c r="B3" s="737"/>
      <c r="C3" s="738"/>
      <c r="D3" s="738"/>
      <c r="E3" s="738"/>
      <c r="F3" s="738"/>
      <c r="G3" s="738"/>
      <c r="H3" s="738"/>
      <c r="I3" s="738"/>
      <c r="J3" s="738"/>
      <c r="K3" s="738"/>
      <c r="L3" s="738"/>
      <c r="M3" s="738"/>
      <c r="N3" s="739"/>
      <c r="Q3" s="737"/>
      <c r="R3" s="738"/>
      <c r="S3" s="738"/>
      <c r="T3" s="738"/>
      <c r="U3" s="738"/>
      <c r="V3" s="738"/>
      <c r="W3" s="738"/>
      <c r="X3" s="738"/>
      <c r="Y3" s="738"/>
      <c r="Z3" s="738"/>
      <c r="AA3" s="738"/>
      <c r="AB3" s="738"/>
      <c r="AC3" s="739"/>
      <c r="AF3" s="737"/>
      <c r="AG3" s="738"/>
      <c r="AH3" s="738"/>
      <c r="AI3" s="738"/>
      <c r="AJ3" s="738"/>
      <c r="AK3" s="738"/>
      <c r="AL3" s="738"/>
      <c r="AM3" s="738"/>
      <c r="AN3" s="738"/>
      <c r="AO3" s="738"/>
      <c r="AP3" s="738"/>
      <c r="AQ3" s="738"/>
      <c r="AR3" s="739"/>
    </row>
    <row r="4" spans="1:44" ht="12.75" customHeight="1" x14ac:dyDescent="0.2">
      <c r="B4" s="737"/>
      <c r="C4" s="738"/>
      <c r="D4" s="738"/>
      <c r="E4" s="738"/>
      <c r="F4" s="738"/>
      <c r="G4" s="738"/>
      <c r="H4" s="738"/>
      <c r="I4" s="738"/>
      <c r="J4" s="738"/>
      <c r="K4" s="738"/>
      <c r="L4" s="738"/>
      <c r="M4" s="738"/>
      <c r="N4" s="739"/>
      <c r="Q4" s="737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8"/>
      <c r="AC4" s="739"/>
      <c r="AF4" s="737"/>
      <c r="AG4" s="738"/>
      <c r="AH4" s="738"/>
      <c r="AI4" s="738"/>
      <c r="AJ4" s="738"/>
      <c r="AK4" s="738"/>
      <c r="AL4" s="738"/>
      <c r="AM4" s="738"/>
      <c r="AN4" s="738"/>
      <c r="AO4" s="738"/>
      <c r="AP4" s="738"/>
      <c r="AQ4" s="738"/>
      <c r="AR4" s="739"/>
    </row>
    <row r="5" spans="1:44" ht="12.75" customHeight="1" thickBot="1" x14ac:dyDescent="0.25">
      <c r="B5" s="740"/>
      <c r="C5" s="741"/>
      <c r="D5" s="741"/>
      <c r="E5" s="741"/>
      <c r="F5" s="741"/>
      <c r="G5" s="741"/>
      <c r="H5" s="741"/>
      <c r="I5" s="741"/>
      <c r="J5" s="741"/>
      <c r="K5" s="741"/>
      <c r="L5" s="741"/>
      <c r="M5" s="741"/>
      <c r="N5" s="742"/>
      <c r="Q5" s="740"/>
      <c r="R5" s="741"/>
      <c r="S5" s="741"/>
      <c r="T5" s="741"/>
      <c r="U5" s="741"/>
      <c r="V5" s="741"/>
      <c r="W5" s="741"/>
      <c r="X5" s="741"/>
      <c r="Y5" s="741"/>
      <c r="Z5" s="741"/>
      <c r="AA5" s="741"/>
      <c r="AB5" s="741"/>
      <c r="AC5" s="742"/>
      <c r="AF5" s="740"/>
      <c r="AG5" s="741"/>
      <c r="AH5" s="741"/>
      <c r="AI5" s="741"/>
      <c r="AJ5" s="741"/>
      <c r="AK5" s="741"/>
      <c r="AL5" s="741"/>
      <c r="AM5" s="741"/>
      <c r="AN5" s="741"/>
      <c r="AO5" s="741"/>
      <c r="AP5" s="741"/>
      <c r="AQ5" s="741"/>
      <c r="AR5" s="742"/>
    </row>
    <row r="6" spans="1:44" ht="12.75" customHeight="1" thickTop="1" x14ac:dyDescent="0.2">
      <c r="B6" s="60"/>
      <c r="C6" s="60"/>
      <c r="D6" s="377"/>
      <c r="E6" s="377"/>
      <c r="F6" s="377"/>
      <c r="G6" s="377"/>
      <c r="H6" s="377"/>
      <c r="I6" s="60"/>
      <c r="J6" s="60"/>
      <c r="K6" s="60"/>
      <c r="L6" s="60"/>
      <c r="M6" s="60"/>
      <c r="N6" s="60"/>
      <c r="Q6" s="60"/>
      <c r="R6" s="60"/>
      <c r="S6" s="377"/>
      <c r="T6" s="377"/>
      <c r="U6" s="377"/>
      <c r="V6" s="377"/>
      <c r="W6" s="377"/>
      <c r="X6" s="60"/>
      <c r="Y6" s="60"/>
      <c r="Z6" s="60"/>
      <c r="AA6" s="60"/>
      <c r="AB6" s="60"/>
      <c r="AC6" s="60"/>
      <c r="AF6" s="60"/>
      <c r="AG6" s="60"/>
      <c r="AH6" s="377"/>
      <c r="AI6" s="377"/>
      <c r="AJ6" s="377"/>
      <c r="AK6" s="377"/>
      <c r="AL6" s="377"/>
      <c r="AM6" s="60"/>
      <c r="AN6" s="60"/>
      <c r="AO6" s="60"/>
      <c r="AP6" s="60"/>
      <c r="AQ6" s="60"/>
      <c r="AR6" s="60"/>
    </row>
    <row r="7" spans="1:44" ht="12.75" customHeight="1" thickBot="1" x14ac:dyDescent="0.25">
      <c r="D7" s="377"/>
      <c r="E7" s="377"/>
      <c r="F7" s="377"/>
      <c r="G7" s="377"/>
      <c r="H7" s="377"/>
      <c r="S7" s="377"/>
      <c r="T7" s="377"/>
      <c r="U7" s="377"/>
      <c r="V7" s="377"/>
      <c r="W7" s="377"/>
      <c r="AH7" s="377"/>
      <c r="AI7" s="377"/>
      <c r="AJ7" s="377"/>
      <c r="AK7" s="377"/>
      <c r="AL7" s="377"/>
    </row>
    <row r="8" spans="1:44" s="60" customFormat="1" ht="15.95" customHeight="1" thickTop="1" x14ac:dyDescent="0.25">
      <c r="A8" s="378"/>
      <c r="B8" s="743" t="s">
        <v>500</v>
      </c>
      <c r="C8" s="744"/>
      <c r="D8" s="744"/>
      <c r="E8" s="379" t="s">
        <v>316</v>
      </c>
      <c r="F8" s="745" t="str">
        <f>H_ENGINE_TYPE</f>
        <v>CFM56_7B</v>
      </c>
      <c r="G8" s="745"/>
      <c r="H8" s="380"/>
      <c r="I8" s="744" t="s">
        <v>501</v>
      </c>
      <c r="J8" s="744"/>
      <c r="K8" s="744"/>
      <c r="L8" s="379" t="s">
        <v>316</v>
      </c>
      <c r="M8" s="746">
        <f>H_TEST_DATE</f>
        <v>43729.338773148149</v>
      </c>
      <c r="N8" s="747"/>
      <c r="P8" s="378"/>
      <c r="Q8" s="743" t="s">
        <v>500</v>
      </c>
      <c r="R8" s="744"/>
      <c r="S8" s="744"/>
      <c r="T8" s="379" t="s">
        <v>316</v>
      </c>
      <c r="U8" s="745" t="str">
        <f>H_ENGINE_TYPE</f>
        <v>CFM56_7B</v>
      </c>
      <c r="V8" s="745"/>
      <c r="W8" s="380"/>
      <c r="X8" s="744" t="s">
        <v>501</v>
      </c>
      <c r="Y8" s="744"/>
      <c r="Z8" s="744"/>
      <c r="AA8" s="379" t="s">
        <v>316</v>
      </c>
      <c r="AB8" s="746">
        <f>H_TEST_DATE</f>
        <v>43729.338773148149</v>
      </c>
      <c r="AC8" s="747"/>
      <c r="AF8" s="743" t="s">
        <v>500</v>
      </c>
      <c r="AG8" s="744"/>
      <c r="AH8" s="744"/>
      <c r="AI8" s="379" t="s">
        <v>316</v>
      </c>
      <c r="AJ8" s="745" t="str">
        <f>H_ENGINE_TYPE</f>
        <v>CFM56_7B</v>
      </c>
      <c r="AK8" s="745"/>
      <c r="AL8" s="380"/>
      <c r="AM8" s="744" t="s">
        <v>501</v>
      </c>
      <c r="AN8" s="744"/>
      <c r="AO8" s="744"/>
      <c r="AP8" s="379" t="s">
        <v>316</v>
      </c>
      <c r="AQ8" s="746">
        <f>H_TEST_DATE</f>
        <v>43729.338773148149</v>
      </c>
      <c r="AR8" s="747"/>
    </row>
    <row r="9" spans="1:44" s="60" customFormat="1" ht="2.1" customHeight="1" x14ac:dyDescent="0.25">
      <c r="A9" s="381"/>
      <c r="B9" s="724" t="s">
        <v>502</v>
      </c>
      <c r="C9" s="725"/>
      <c r="D9" s="725"/>
      <c r="E9" s="725"/>
      <c r="F9" s="382"/>
      <c r="G9" s="382"/>
      <c r="H9" s="383"/>
      <c r="I9" s="725" t="s">
        <v>502</v>
      </c>
      <c r="J9" s="725"/>
      <c r="K9" s="725"/>
      <c r="L9" s="725"/>
      <c r="M9" s="384"/>
      <c r="N9" s="385"/>
      <c r="P9" s="381"/>
      <c r="Q9" s="724" t="s">
        <v>502</v>
      </c>
      <c r="R9" s="725"/>
      <c r="S9" s="725"/>
      <c r="T9" s="725"/>
      <c r="U9" s="382"/>
      <c r="V9" s="382"/>
      <c r="W9" s="383"/>
      <c r="X9" s="725" t="s">
        <v>502</v>
      </c>
      <c r="Y9" s="725"/>
      <c r="Z9" s="725"/>
      <c r="AA9" s="725"/>
      <c r="AB9" s="384"/>
      <c r="AC9" s="385"/>
      <c r="AF9" s="724" t="s">
        <v>502</v>
      </c>
      <c r="AG9" s="725"/>
      <c r="AH9" s="725"/>
      <c r="AI9" s="725"/>
      <c r="AJ9" s="465"/>
      <c r="AK9" s="465"/>
      <c r="AL9" s="383"/>
      <c r="AM9" s="725" t="s">
        <v>502</v>
      </c>
      <c r="AN9" s="725"/>
      <c r="AO9" s="725"/>
      <c r="AP9" s="725"/>
      <c r="AQ9" s="384"/>
      <c r="AR9" s="385"/>
    </row>
    <row r="10" spans="1:44" s="60" customFormat="1" ht="15.95" customHeight="1" x14ac:dyDescent="0.25">
      <c r="A10" s="378"/>
      <c r="B10" s="726" t="s">
        <v>93</v>
      </c>
      <c r="C10" s="727"/>
      <c r="D10" s="727"/>
      <c r="E10" s="386" t="s">
        <v>316</v>
      </c>
      <c r="F10" s="728" t="str">
        <f>H_CUSTOMER_NAME</f>
        <v>AFR</v>
      </c>
      <c r="G10" s="728"/>
      <c r="H10" s="383"/>
      <c r="I10" s="727" t="s">
        <v>503</v>
      </c>
      <c r="J10" s="727"/>
      <c r="K10" s="727"/>
      <c r="L10" s="386" t="s">
        <v>316</v>
      </c>
      <c r="M10" s="728">
        <f>H_ESM_REV_NO</f>
        <v>74</v>
      </c>
      <c r="N10" s="729"/>
      <c r="P10" s="378"/>
      <c r="Q10" s="726" t="s">
        <v>93</v>
      </c>
      <c r="R10" s="727"/>
      <c r="S10" s="727"/>
      <c r="T10" s="386" t="s">
        <v>316</v>
      </c>
      <c r="U10" s="728" t="str">
        <f>H_CUSTOMER_NAME</f>
        <v>AFR</v>
      </c>
      <c r="V10" s="728"/>
      <c r="W10" s="383"/>
      <c r="X10" s="727" t="s">
        <v>503</v>
      </c>
      <c r="Y10" s="727"/>
      <c r="Z10" s="727"/>
      <c r="AA10" s="386" t="s">
        <v>316</v>
      </c>
      <c r="AB10" s="728">
        <f>H_ESM_REV_NO</f>
        <v>74</v>
      </c>
      <c r="AC10" s="729"/>
      <c r="AF10" s="726" t="s">
        <v>93</v>
      </c>
      <c r="AG10" s="727"/>
      <c r="AH10" s="727"/>
      <c r="AI10" s="386" t="s">
        <v>316</v>
      </c>
      <c r="AJ10" s="728" t="str">
        <f>H_CUSTOMER_NAME</f>
        <v>AFR</v>
      </c>
      <c r="AK10" s="728"/>
      <c r="AL10" s="383"/>
      <c r="AM10" s="727" t="s">
        <v>503</v>
      </c>
      <c r="AN10" s="727"/>
      <c r="AO10" s="727"/>
      <c r="AP10" s="386" t="s">
        <v>316</v>
      </c>
      <c r="AQ10" s="728">
        <f>H_ESM_REV_NO</f>
        <v>74</v>
      </c>
      <c r="AR10" s="729"/>
    </row>
    <row r="11" spans="1:44" s="60" customFormat="1" ht="2.1" customHeight="1" x14ac:dyDescent="0.25">
      <c r="A11" s="381"/>
      <c r="B11" s="724" t="s">
        <v>502</v>
      </c>
      <c r="C11" s="725"/>
      <c r="D11" s="725"/>
      <c r="E11" s="725"/>
      <c r="F11" s="382"/>
      <c r="G11" s="382"/>
      <c r="H11" s="383"/>
      <c r="I11" s="725" t="s">
        <v>502</v>
      </c>
      <c r="J11" s="725"/>
      <c r="K11" s="725"/>
      <c r="L11" s="725"/>
      <c r="M11" s="382"/>
      <c r="N11" s="387"/>
      <c r="P11" s="381"/>
      <c r="Q11" s="724" t="s">
        <v>502</v>
      </c>
      <c r="R11" s="725"/>
      <c r="S11" s="725"/>
      <c r="T11" s="725"/>
      <c r="U11" s="382"/>
      <c r="V11" s="382"/>
      <c r="W11" s="383"/>
      <c r="X11" s="725" t="s">
        <v>502</v>
      </c>
      <c r="Y11" s="725"/>
      <c r="Z11" s="725"/>
      <c r="AA11" s="725"/>
      <c r="AB11" s="382"/>
      <c r="AC11" s="387"/>
      <c r="AF11" s="724" t="s">
        <v>502</v>
      </c>
      <c r="AG11" s="725"/>
      <c r="AH11" s="725"/>
      <c r="AI11" s="725"/>
      <c r="AJ11" s="465"/>
      <c r="AK11" s="465"/>
      <c r="AL11" s="383"/>
      <c r="AM11" s="725" t="s">
        <v>502</v>
      </c>
      <c r="AN11" s="725"/>
      <c r="AO11" s="725"/>
      <c r="AP11" s="725"/>
      <c r="AQ11" s="465"/>
      <c r="AR11" s="466"/>
    </row>
    <row r="12" spans="1:44" s="60" customFormat="1" ht="15.95" customHeight="1" x14ac:dyDescent="0.25">
      <c r="A12" s="378"/>
      <c r="B12" s="726" t="s">
        <v>504</v>
      </c>
      <c r="C12" s="727"/>
      <c r="D12" s="727"/>
      <c r="E12" s="386" t="s">
        <v>316</v>
      </c>
      <c r="F12" s="728">
        <f>H_ENGINE_SERIAL_NO</f>
        <v>575499</v>
      </c>
      <c r="G12" s="728"/>
      <c r="H12" s="383"/>
      <c r="I12" s="727" t="s">
        <v>505</v>
      </c>
      <c r="J12" s="727"/>
      <c r="K12" s="727"/>
      <c r="L12" s="386" t="s">
        <v>316</v>
      </c>
      <c r="M12" s="728" t="str">
        <f>H_ECU_SOFT</f>
        <v>5BT.F1</v>
      </c>
      <c r="N12" s="729"/>
      <c r="P12" s="378"/>
      <c r="Q12" s="726" t="s">
        <v>504</v>
      </c>
      <c r="R12" s="727"/>
      <c r="S12" s="727"/>
      <c r="T12" s="386" t="s">
        <v>316</v>
      </c>
      <c r="U12" s="728">
        <f>H_ENGINE_SERIAL_NO</f>
        <v>575499</v>
      </c>
      <c r="V12" s="728"/>
      <c r="W12" s="383"/>
      <c r="X12" s="727" t="s">
        <v>505</v>
      </c>
      <c r="Y12" s="727"/>
      <c r="Z12" s="727"/>
      <c r="AA12" s="386" t="s">
        <v>316</v>
      </c>
      <c r="AB12" s="728" t="str">
        <f>H_ECU_SOFT</f>
        <v>5BT.F1</v>
      </c>
      <c r="AC12" s="729"/>
      <c r="AF12" s="726" t="s">
        <v>504</v>
      </c>
      <c r="AG12" s="727"/>
      <c r="AH12" s="727"/>
      <c r="AI12" s="386" t="s">
        <v>316</v>
      </c>
      <c r="AJ12" s="728">
        <f>H_ENGINE_SERIAL_NO</f>
        <v>575499</v>
      </c>
      <c r="AK12" s="728"/>
      <c r="AL12" s="383"/>
      <c r="AM12" s="727" t="s">
        <v>505</v>
      </c>
      <c r="AN12" s="727"/>
      <c r="AO12" s="727"/>
      <c r="AP12" s="386" t="s">
        <v>316</v>
      </c>
      <c r="AQ12" s="728" t="str">
        <f>H_ECU_SOFT</f>
        <v>5BT.F1</v>
      </c>
      <c r="AR12" s="729"/>
    </row>
    <row r="13" spans="1:44" s="60" customFormat="1" ht="2.1" customHeight="1" x14ac:dyDescent="0.25">
      <c r="A13" s="388"/>
      <c r="B13" s="724" t="s">
        <v>502</v>
      </c>
      <c r="C13" s="725"/>
      <c r="D13" s="725"/>
      <c r="E13" s="725"/>
      <c r="F13" s="382"/>
      <c r="G13" s="382"/>
      <c r="H13" s="383"/>
      <c r="I13" s="725" t="s">
        <v>502</v>
      </c>
      <c r="J13" s="725"/>
      <c r="K13" s="725"/>
      <c r="L13" s="725"/>
      <c r="M13" s="382"/>
      <c r="N13" s="387"/>
      <c r="P13" s="388"/>
      <c r="Q13" s="724" t="s">
        <v>502</v>
      </c>
      <c r="R13" s="725"/>
      <c r="S13" s="725"/>
      <c r="T13" s="725"/>
      <c r="U13" s="382"/>
      <c r="V13" s="382"/>
      <c r="W13" s="383"/>
      <c r="X13" s="725" t="s">
        <v>502</v>
      </c>
      <c r="Y13" s="725"/>
      <c r="Z13" s="725"/>
      <c r="AA13" s="725"/>
      <c r="AB13" s="382"/>
      <c r="AC13" s="387"/>
      <c r="AF13" s="724" t="s">
        <v>502</v>
      </c>
      <c r="AG13" s="725"/>
      <c r="AH13" s="725"/>
      <c r="AI13" s="725"/>
      <c r="AJ13" s="465"/>
      <c r="AK13" s="465"/>
      <c r="AL13" s="383"/>
      <c r="AM13" s="725" t="s">
        <v>502</v>
      </c>
      <c r="AN13" s="725"/>
      <c r="AO13" s="725"/>
      <c r="AP13" s="725"/>
      <c r="AQ13" s="465"/>
      <c r="AR13" s="466"/>
    </row>
    <row r="14" spans="1:44" s="60" customFormat="1" ht="15.95" customHeight="1" thickBot="1" x14ac:dyDescent="0.3">
      <c r="A14" s="389"/>
      <c r="B14" s="730" t="s">
        <v>506</v>
      </c>
      <c r="C14" s="731"/>
      <c r="D14" s="731"/>
      <c r="E14" s="390" t="s">
        <v>316</v>
      </c>
      <c r="F14" s="732" t="str">
        <f>H_TEST_TYPE</f>
        <v>Performance Test</v>
      </c>
      <c r="G14" s="732"/>
      <c r="H14" s="391"/>
      <c r="I14" s="731" t="s">
        <v>507</v>
      </c>
      <c r="J14" s="731"/>
      <c r="K14" s="731"/>
      <c r="L14" s="390" t="s">
        <v>316</v>
      </c>
      <c r="M14" s="732" t="str">
        <f>H_OIL_TYPE</f>
        <v>EX2380</v>
      </c>
      <c r="N14" s="733"/>
      <c r="P14" s="389"/>
      <c r="Q14" s="730" t="s">
        <v>506</v>
      </c>
      <c r="R14" s="731"/>
      <c r="S14" s="731"/>
      <c r="T14" s="390" t="s">
        <v>316</v>
      </c>
      <c r="U14" s="732" t="str">
        <f>H_TEST_TYPE</f>
        <v>Performance Test</v>
      </c>
      <c r="V14" s="732"/>
      <c r="W14" s="391"/>
      <c r="X14" s="731" t="s">
        <v>507</v>
      </c>
      <c r="Y14" s="731"/>
      <c r="Z14" s="731"/>
      <c r="AA14" s="390" t="s">
        <v>316</v>
      </c>
      <c r="AB14" s="732" t="str">
        <f>H_OIL_TYPE</f>
        <v>EX2380</v>
      </c>
      <c r="AC14" s="733"/>
      <c r="AF14" s="730" t="s">
        <v>506</v>
      </c>
      <c r="AG14" s="731"/>
      <c r="AH14" s="731"/>
      <c r="AI14" s="390" t="s">
        <v>316</v>
      </c>
      <c r="AJ14" s="732" t="str">
        <f>H_TEST_TYPE</f>
        <v>Performance Test</v>
      </c>
      <c r="AK14" s="732"/>
      <c r="AL14" s="391"/>
      <c r="AM14" s="731" t="s">
        <v>507</v>
      </c>
      <c r="AN14" s="731"/>
      <c r="AO14" s="731"/>
      <c r="AP14" s="390" t="s">
        <v>316</v>
      </c>
      <c r="AQ14" s="732" t="str">
        <f>H_OIL_TYPE</f>
        <v>EX2380</v>
      </c>
      <c r="AR14" s="733"/>
    </row>
    <row r="15" spans="1:44" s="60" customFormat="1" ht="15" thickTop="1" x14ac:dyDescent="0.2">
      <c r="B15" s="392"/>
      <c r="C15" s="392"/>
      <c r="D15" s="363"/>
      <c r="E15" s="363"/>
      <c r="F15" s="392"/>
      <c r="G15" s="382"/>
      <c r="H15" s="382"/>
      <c r="I15" s="382"/>
      <c r="J15" s="363"/>
      <c r="K15" s="363"/>
      <c r="L15" s="363"/>
      <c r="Q15" s="392"/>
      <c r="R15" s="392"/>
      <c r="S15" s="363"/>
      <c r="T15" s="363"/>
      <c r="U15" s="392"/>
      <c r="V15" s="382"/>
      <c r="W15" s="382"/>
      <c r="X15" s="382"/>
      <c r="Y15" s="363"/>
      <c r="Z15" s="363"/>
      <c r="AA15" s="363"/>
      <c r="AF15" s="392"/>
      <c r="AG15" s="392"/>
      <c r="AH15" s="463"/>
      <c r="AI15" s="463"/>
      <c r="AJ15" s="392"/>
      <c r="AK15" s="465"/>
      <c r="AL15" s="465"/>
      <c r="AM15" s="465"/>
      <c r="AN15" s="463"/>
      <c r="AO15" s="463"/>
      <c r="AP15" s="463"/>
    </row>
    <row r="16" spans="1:44" s="60" customFormat="1" ht="15" thickBot="1" x14ac:dyDescent="0.25">
      <c r="B16" s="392"/>
      <c r="C16" s="392"/>
      <c r="D16" s="363"/>
      <c r="E16" s="363"/>
      <c r="F16" s="392"/>
      <c r="G16" s="382"/>
      <c r="H16" s="382"/>
      <c r="I16" s="382"/>
      <c r="J16" s="363"/>
      <c r="K16" s="363"/>
      <c r="L16" s="363"/>
      <c r="Q16" s="392"/>
      <c r="R16" s="392"/>
      <c r="S16" s="363"/>
      <c r="T16" s="363"/>
      <c r="U16" s="392"/>
      <c r="V16" s="382"/>
      <c r="W16" s="382"/>
      <c r="X16" s="382"/>
      <c r="Y16" s="363"/>
      <c r="Z16" s="363"/>
      <c r="AA16" s="363"/>
      <c r="AF16" s="392"/>
      <c r="AG16" s="392"/>
      <c r="AH16" s="463"/>
      <c r="AI16" s="463"/>
      <c r="AJ16" s="392"/>
      <c r="AK16" s="465"/>
      <c r="AL16" s="465"/>
      <c r="AM16" s="465"/>
      <c r="AN16" s="463"/>
      <c r="AO16" s="463"/>
      <c r="AP16" s="463"/>
    </row>
    <row r="17" spans="2:44" s="60" customFormat="1" ht="15" thickTop="1" x14ac:dyDescent="0.2">
      <c r="B17" s="393"/>
      <c r="C17" s="394"/>
      <c r="D17" s="395"/>
      <c r="E17" s="395"/>
      <c r="F17" s="394"/>
      <c r="G17" s="396"/>
      <c r="H17" s="396"/>
      <c r="I17" s="396"/>
      <c r="J17" s="395"/>
      <c r="K17" s="395"/>
      <c r="L17" s="395"/>
      <c r="M17" s="397"/>
      <c r="N17" s="398"/>
      <c r="Q17" s="393"/>
      <c r="R17" s="394"/>
      <c r="S17" s="395"/>
      <c r="T17" s="395"/>
      <c r="U17" s="394"/>
      <c r="V17" s="396"/>
      <c r="W17" s="396"/>
      <c r="X17" s="396"/>
      <c r="Y17" s="395"/>
      <c r="Z17" s="395"/>
      <c r="AA17" s="395"/>
      <c r="AB17" s="397"/>
      <c r="AC17" s="398"/>
      <c r="AF17" s="393"/>
      <c r="AG17" s="394"/>
      <c r="AH17" s="395"/>
      <c r="AI17" s="395"/>
      <c r="AJ17" s="394"/>
      <c r="AK17" s="464"/>
      <c r="AL17" s="464"/>
      <c r="AM17" s="464"/>
      <c r="AN17" s="395"/>
      <c r="AO17" s="395"/>
      <c r="AP17" s="395"/>
      <c r="AQ17" s="397"/>
      <c r="AR17" s="398"/>
    </row>
    <row r="18" spans="2:44" s="60" customFormat="1" ht="13.5" thickBot="1" x14ac:dyDescent="0.25">
      <c r="B18" s="400"/>
      <c r="C18" s="401"/>
      <c r="D18" s="401"/>
      <c r="E18" s="401"/>
      <c r="F18" s="401"/>
      <c r="G18" s="401"/>
      <c r="H18" s="401"/>
      <c r="I18" s="401"/>
      <c r="J18" s="401"/>
      <c r="K18" s="401"/>
      <c r="L18" s="401"/>
      <c r="M18" s="402"/>
      <c r="N18" s="403"/>
      <c r="Q18" s="400"/>
      <c r="R18" s="401"/>
      <c r="S18" s="401"/>
      <c r="T18" s="401"/>
      <c r="U18" s="401"/>
      <c r="V18" s="401"/>
      <c r="W18" s="401"/>
      <c r="X18" s="401"/>
      <c r="Y18" s="401"/>
      <c r="Z18" s="401"/>
      <c r="AA18" s="401"/>
      <c r="AB18" s="402"/>
      <c r="AC18" s="403"/>
      <c r="AF18" s="400"/>
      <c r="AG18" s="401"/>
      <c r="AH18" s="401"/>
      <c r="AI18" s="401"/>
      <c r="AJ18" s="401"/>
      <c r="AK18" s="401"/>
      <c r="AL18" s="401"/>
      <c r="AM18" s="401"/>
      <c r="AN18" s="401"/>
      <c r="AO18" s="401"/>
      <c r="AP18" s="401"/>
      <c r="AQ18" s="402"/>
      <c r="AR18" s="403"/>
    </row>
    <row r="19" spans="2:44" s="60" customFormat="1" ht="21" thickBot="1" x14ac:dyDescent="0.35">
      <c r="B19" s="404"/>
      <c r="C19" s="712" t="s">
        <v>455</v>
      </c>
      <c r="D19" s="713"/>
      <c r="E19" s="713"/>
      <c r="F19" s="713"/>
      <c r="G19" s="714"/>
      <c r="H19" s="405"/>
      <c r="I19" s="712" t="s">
        <v>447</v>
      </c>
      <c r="J19" s="713"/>
      <c r="K19" s="713"/>
      <c r="L19" s="713"/>
      <c r="M19" s="714"/>
      <c r="N19" s="399"/>
      <c r="Q19" s="404"/>
      <c r="R19" s="712" t="s">
        <v>450</v>
      </c>
      <c r="S19" s="713"/>
      <c r="T19" s="713"/>
      <c r="U19" s="713"/>
      <c r="V19" s="714"/>
      <c r="W19" s="405"/>
      <c r="X19" s="712" t="s">
        <v>451</v>
      </c>
      <c r="Y19" s="713"/>
      <c r="Z19" s="713"/>
      <c r="AA19" s="713"/>
      <c r="AB19" s="714"/>
      <c r="AC19" s="399"/>
      <c r="AF19" s="404"/>
      <c r="AG19" s="712" t="s">
        <v>454</v>
      </c>
      <c r="AH19" s="713"/>
      <c r="AI19" s="713"/>
      <c r="AJ19" s="713"/>
      <c r="AK19" s="714"/>
      <c r="AL19" s="405"/>
      <c r="AM19" s="715"/>
      <c r="AN19" s="715"/>
      <c r="AO19" s="715"/>
      <c r="AP19" s="715"/>
      <c r="AQ19" s="715"/>
      <c r="AR19" s="399"/>
    </row>
    <row r="20" spans="2:44" s="60" customFormat="1" ht="16.5" thickBot="1" x14ac:dyDescent="0.3">
      <c r="B20" s="404"/>
      <c r="C20" s="406" t="s">
        <v>508</v>
      </c>
      <c r="D20" s="716" cm="1">
        <f t="array" ref="D20" xml:space="preserve"> VLOOKUP(C_Engine_Rating S_take_off1, enum_list!$A$2:$F$102,3,1)</f>
        <v>0</v>
      </c>
      <c r="E20" s="716"/>
      <c r="F20" s="716"/>
      <c r="G20" s="717"/>
      <c r="H20" s="405"/>
      <c r="I20" s="406" t="s">
        <v>508</v>
      </c>
      <c r="J20" s="716" cm="1">
        <f t="array" ref="J20" xml:space="preserve"> VLOOKUP(C_Engine_Rating S_take_off2, enum_list!$A$2:$F$102,3,1)</f>
        <v>0</v>
      </c>
      <c r="K20" s="716"/>
      <c r="L20" s="716"/>
      <c r="M20" s="717"/>
      <c r="N20" s="399"/>
      <c r="Q20" s="404"/>
      <c r="R20" s="406" t="s">
        <v>508</v>
      </c>
      <c r="S20" s="716" cm="1">
        <f t="array" ref="S20" xml:space="preserve"> VLOOKUP(C_Engine_Rating S_take_off5, enum_list!$A$2:$F$102,3,1)</f>
        <v>0</v>
      </c>
      <c r="T20" s="716"/>
      <c r="U20" s="716"/>
      <c r="V20" s="717"/>
      <c r="W20" s="405"/>
      <c r="X20" s="406" t="s">
        <v>508</v>
      </c>
      <c r="Y20" s="716" t="e" cm="1">
        <f t="array" ref="Y20" xml:space="preserve"> VLOOKUP(C_Engine_Rating S_take_off6, enum_list!$A$2:$F$102,3,1)</f>
        <v>#NAME?</v>
      </c>
      <c r="Z20" s="716"/>
      <c r="AA20" s="716"/>
      <c r="AB20" s="717"/>
      <c r="AC20" s="399"/>
      <c r="AF20" s="404"/>
      <c r="AG20" s="406" t="s">
        <v>508</v>
      </c>
      <c r="AH20" s="716" cm="1">
        <f t="array" ref="AH20" xml:space="preserve"> VLOOKUP(C_Engine_Rating S_take_off1, enum_list!$A$2:$F$102,3,1)</f>
        <v>0</v>
      </c>
      <c r="AI20" s="716"/>
      <c r="AJ20" s="716"/>
      <c r="AK20" s="717"/>
      <c r="AL20" s="405"/>
      <c r="AM20" s="472"/>
      <c r="AN20" s="718"/>
      <c r="AO20" s="718"/>
      <c r="AP20" s="718"/>
      <c r="AQ20" s="718"/>
      <c r="AR20" s="399"/>
    </row>
    <row r="21" spans="2:44" s="60" customFormat="1" ht="16.5" thickBot="1" x14ac:dyDescent="0.3">
      <c r="B21" s="407"/>
      <c r="C21" s="408"/>
      <c r="D21" s="719" t="s">
        <v>465</v>
      </c>
      <c r="E21" s="720"/>
      <c r="F21" s="409" t="s">
        <v>466</v>
      </c>
      <c r="G21" s="410"/>
      <c r="I21" s="408"/>
      <c r="J21" s="409" t="s">
        <v>465</v>
      </c>
      <c r="K21" s="409" t="s">
        <v>466</v>
      </c>
      <c r="L21" s="719"/>
      <c r="M21" s="720"/>
      <c r="N21" s="411"/>
      <c r="O21" s="412"/>
      <c r="Q21" s="407"/>
      <c r="R21" s="408"/>
      <c r="S21" s="719" t="s">
        <v>465</v>
      </c>
      <c r="T21" s="720"/>
      <c r="U21" s="409" t="s">
        <v>466</v>
      </c>
      <c r="V21" s="410"/>
      <c r="X21" s="408"/>
      <c r="Y21" s="409" t="s">
        <v>465</v>
      </c>
      <c r="Z21" s="409" t="s">
        <v>466</v>
      </c>
      <c r="AA21" s="719"/>
      <c r="AB21" s="720"/>
      <c r="AC21" s="411"/>
      <c r="AD21" s="412"/>
      <c r="AF21" s="407"/>
      <c r="AG21" s="408"/>
      <c r="AH21" s="719" t="s">
        <v>465</v>
      </c>
      <c r="AI21" s="720"/>
      <c r="AJ21" s="409" t="s">
        <v>466</v>
      </c>
      <c r="AK21" s="410"/>
      <c r="AM21" s="473"/>
      <c r="AN21" s="474"/>
      <c r="AO21" s="474"/>
      <c r="AP21" s="721"/>
      <c r="AQ21" s="721"/>
      <c r="AR21" s="411"/>
    </row>
    <row r="22" spans="2:44" s="60" customFormat="1" ht="15" x14ac:dyDescent="0.2">
      <c r="B22" s="407"/>
      <c r="C22" s="413" t="s">
        <v>29</v>
      </c>
      <c r="D22" s="722" cm="1">
        <f t="array" ref="D22">C_N1 S_take_off1</f>
        <v>0</v>
      </c>
      <c r="E22" s="722"/>
      <c r="F22" s="414" cm="1">
        <f t="array" ref="F22">C_N1 S_maxi_continu1</f>
        <v>0</v>
      </c>
      <c r="G22" s="415" t="s">
        <v>329</v>
      </c>
      <c r="I22" s="413" t="s">
        <v>29</v>
      </c>
      <c r="J22" s="414" cm="1">
        <f t="array" ref="J22">C_N1 S_take_off2</f>
        <v>0</v>
      </c>
      <c r="K22" s="414" cm="1">
        <f t="array" ref="K22">C_N1 S_maxi_continu2</f>
        <v>0</v>
      </c>
      <c r="L22" s="748" t="s">
        <v>329</v>
      </c>
      <c r="M22" s="749"/>
      <c r="N22" s="399"/>
      <c r="Q22" s="407"/>
      <c r="R22" s="413" t="s">
        <v>29</v>
      </c>
      <c r="S22" s="722" cm="1">
        <f t="array" ref="S22">C_N1 S_take_off5</f>
        <v>0</v>
      </c>
      <c r="T22" s="722"/>
      <c r="U22" s="414" cm="1">
        <f t="array" ref="U22">C_N1 S_maxi_continu5</f>
        <v>0</v>
      </c>
      <c r="V22" s="415" t="s">
        <v>329</v>
      </c>
      <c r="X22" s="413" t="s">
        <v>29</v>
      </c>
      <c r="Y22" s="414" t="e" cm="1">
        <f t="array" ref="Y22">C_N1 S_take_off6</f>
        <v>#NAME?</v>
      </c>
      <c r="Z22" s="414" t="e" cm="1">
        <f t="array" ref="Z22">C_N1 S_maxi_continu6</f>
        <v>#NAME?</v>
      </c>
      <c r="AA22" s="748" t="s">
        <v>329</v>
      </c>
      <c r="AB22" s="749"/>
      <c r="AC22" s="399"/>
      <c r="AF22" s="407"/>
      <c r="AG22" s="413" t="s">
        <v>29</v>
      </c>
      <c r="AH22" s="722" t="e" cm="1">
        <f t="array" ref="AH22">C_N1 S_take_off9</f>
        <v>#NAME?</v>
      </c>
      <c r="AI22" s="722"/>
      <c r="AJ22" s="467" t="e" cm="1">
        <f t="array" ref="AJ22">C_N1 S_maxi_continu9</f>
        <v>#NAME?</v>
      </c>
      <c r="AK22" s="415" t="s">
        <v>329</v>
      </c>
      <c r="AM22" s="475"/>
      <c r="AN22" s="476"/>
      <c r="AO22" s="476"/>
      <c r="AP22" s="723"/>
      <c r="AQ22" s="723"/>
      <c r="AR22" s="399"/>
    </row>
    <row r="23" spans="2:44" s="60" customFormat="1" ht="15" x14ac:dyDescent="0.2">
      <c r="B23" s="407"/>
      <c r="C23" s="416" t="s">
        <v>33</v>
      </c>
      <c r="D23" s="711" cm="1">
        <f t="array" ref="D23">C_N2 S_take_off1</f>
        <v>0</v>
      </c>
      <c r="E23" s="711"/>
      <c r="F23" s="417" cm="1">
        <f t="array" ref="F23">C_N2 S_maxi_continu1</f>
        <v>0</v>
      </c>
      <c r="G23" s="418" t="s">
        <v>329</v>
      </c>
      <c r="I23" s="416" t="s">
        <v>33</v>
      </c>
      <c r="J23" s="417" cm="1">
        <f t="array" ref="J23">C_N2 S_take_off2</f>
        <v>0</v>
      </c>
      <c r="K23" s="417" cm="1">
        <f t="array" ref="K23">C_N2 S_maxi_continu2</f>
        <v>0</v>
      </c>
      <c r="L23" s="752" t="s">
        <v>329</v>
      </c>
      <c r="M23" s="753"/>
      <c r="N23" s="399"/>
      <c r="Q23" s="407"/>
      <c r="R23" s="416" t="s">
        <v>33</v>
      </c>
      <c r="S23" s="711" cm="1">
        <f t="array" ref="S23">C_N2 S_take_off5</f>
        <v>0</v>
      </c>
      <c r="T23" s="711"/>
      <c r="U23" s="417" cm="1">
        <f t="array" ref="U23">C_N2 S_maxi_continu5</f>
        <v>0</v>
      </c>
      <c r="V23" s="418" t="s">
        <v>329</v>
      </c>
      <c r="X23" s="416" t="s">
        <v>33</v>
      </c>
      <c r="Y23" s="417" t="e" cm="1">
        <f t="array" ref="Y23">C_N2 S_take_off6</f>
        <v>#NAME?</v>
      </c>
      <c r="Z23" s="417" t="e" cm="1">
        <f t="array" ref="Z23">C_N2 S_maxi_continu6</f>
        <v>#NAME?</v>
      </c>
      <c r="AA23" s="752" t="s">
        <v>329</v>
      </c>
      <c r="AB23" s="753"/>
      <c r="AC23" s="399"/>
      <c r="AF23" s="407"/>
      <c r="AG23" s="416" t="s">
        <v>33</v>
      </c>
      <c r="AH23" s="711" t="e" cm="1">
        <f t="array" ref="AH23">C_N2 S_take_off9</f>
        <v>#NAME?</v>
      </c>
      <c r="AI23" s="711"/>
      <c r="AJ23" s="468" t="e" cm="1">
        <f t="array" ref="AJ23">C_N2 S_maxi_continu9</f>
        <v>#NAME?</v>
      </c>
      <c r="AK23" s="418" t="s">
        <v>329</v>
      </c>
      <c r="AM23" s="437"/>
      <c r="AN23" s="437"/>
      <c r="AO23" s="437"/>
      <c r="AP23" s="437"/>
      <c r="AQ23" s="437"/>
      <c r="AR23" s="399"/>
    </row>
    <row r="24" spans="2:44" s="60" customFormat="1" ht="15" x14ac:dyDescent="0.2">
      <c r="B24" s="407"/>
      <c r="C24" s="416" t="s">
        <v>245</v>
      </c>
      <c r="D24" s="710" cm="1">
        <f t="array" ref="D24">C_T495_SEL_A S_take_off1</f>
        <v>0</v>
      </c>
      <c r="E24" s="710"/>
      <c r="F24" s="419" cm="1">
        <f t="array" ref="F24">C_T495_SEL_A S_maxi_continu1</f>
        <v>0</v>
      </c>
      <c r="G24" s="418" t="s">
        <v>331</v>
      </c>
      <c r="I24" s="416" t="s">
        <v>245</v>
      </c>
      <c r="J24" s="419" cm="1">
        <f t="array" ref="J24">C_T495_SEL_A S_take_off2</f>
        <v>0</v>
      </c>
      <c r="K24" s="419" cm="1">
        <f t="array" ref="K24">C_T495_SEL_A S_maxi_continu2</f>
        <v>0</v>
      </c>
      <c r="L24" s="752" t="s">
        <v>331</v>
      </c>
      <c r="M24" s="753"/>
      <c r="N24" s="399"/>
      <c r="Q24" s="407"/>
      <c r="R24" s="416" t="s">
        <v>245</v>
      </c>
      <c r="S24" s="710" cm="1">
        <f t="array" ref="S24">C_T495_SEL_A S_take_off5</f>
        <v>0</v>
      </c>
      <c r="T24" s="710"/>
      <c r="U24" s="419" cm="1">
        <f t="array" ref="U24">C_T495_SEL_A S_maxi_continu5</f>
        <v>0</v>
      </c>
      <c r="V24" s="418" t="s">
        <v>331</v>
      </c>
      <c r="X24" s="416" t="s">
        <v>245</v>
      </c>
      <c r="Y24" s="419" t="e" cm="1">
        <f t="array" ref="Y24">C_T495_SEL_A S_take_off6</f>
        <v>#NAME?</v>
      </c>
      <c r="Z24" s="419" t="e" cm="1">
        <f t="array" ref="Z24">C_T495_SEL_A S_maxi_continu6</f>
        <v>#NAME?</v>
      </c>
      <c r="AA24" s="752" t="s">
        <v>331</v>
      </c>
      <c r="AB24" s="753"/>
      <c r="AC24" s="399"/>
      <c r="AF24" s="407"/>
      <c r="AG24" s="416" t="s">
        <v>245</v>
      </c>
      <c r="AH24" s="710" t="e" cm="1">
        <f t="array" ref="AH24">C_T495_SEL_A S_take_off9</f>
        <v>#NAME?</v>
      </c>
      <c r="AI24" s="710"/>
      <c r="AJ24" s="469" t="e" cm="1">
        <f t="array" ref="AJ24">C_T495_SEL_A S_maxi_continu9</f>
        <v>#NAME?</v>
      </c>
      <c r="AK24" s="418" t="s">
        <v>331</v>
      </c>
      <c r="AM24" s="437"/>
      <c r="AN24" s="437"/>
      <c r="AO24" s="437"/>
      <c r="AP24" s="437"/>
      <c r="AQ24" s="437"/>
      <c r="AR24" s="399"/>
    </row>
    <row r="25" spans="2:44" s="60" customFormat="1" ht="15" x14ac:dyDescent="0.2">
      <c r="B25" s="407"/>
      <c r="C25" s="420" t="s">
        <v>509</v>
      </c>
      <c r="D25" s="711" cm="1">
        <f t="array" ref="D25">C_FNnet S_take_off1</f>
        <v>0</v>
      </c>
      <c r="E25" s="711"/>
      <c r="F25" s="417" cm="1">
        <f t="array" ref="F25">C_FNnet S_maxi_continu1</f>
        <v>0</v>
      </c>
      <c r="G25" s="418" t="s">
        <v>510</v>
      </c>
      <c r="I25" s="420" t="s">
        <v>509</v>
      </c>
      <c r="J25" s="417" cm="1">
        <f t="array" ref="J25">C_FNnet S_take_off2</f>
        <v>0</v>
      </c>
      <c r="K25" s="417" cm="1">
        <f t="array" ref="K25">C_FNnet S_maxi_continu2</f>
        <v>0</v>
      </c>
      <c r="L25" s="752" t="s">
        <v>510</v>
      </c>
      <c r="M25" s="753"/>
      <c r="N25" s="399"/>
      <c r="Q25" s="407"/>
      <c r="R25" s="420" t="s">
        <v>509</v>
      </c>
      <c r="S25" s="711" cm="1">
        <f t="array" ref="S25">C_FNnet S_take_off5</f>
        <v>0</v>
      </c>
      <c r="T25" s="711"/>
      <c r="U25" s="417" cm="1">
        <f t="array" ref="U25">C_FNnet S_maxi_continu5</f>
        <v>0</v>
      </c>
      <c r="V25" s="418" t="s">
        <v>510</v>
      </c>
      <c r="X25" s="420" t="s">
        <v>509</v>
      </c>
      <c r="Y25" s="417" t="e" cm="1">
        <f t="array" ref="Y25">C_FNnet S_take_off6</f>
        <v>#NAME?</v>
      </c>
      <c r="Z25" s="417" t="e" cm="1">
        <f t="array" ref="Z25">C_FNnet S_maxi_continu6</f>
        <v>#NAME?</v>
      </c>
      <c r="AA25" s="752" t="s">
        <v>510</v>
      </c>
      <c r="AB25" s="753"/>
      <c r="AC25" s="399"/>
      <c r="AF25" s="407"/>
      <c r="AG25" s="420" t="s">
        <v>509</v>
      </c>
      <c r="AH25" s="711" t="e" cm="1">
        <f t="array" ref="AH25">C_FNnet S_take_off9</f>
        <v>#NAME?</v>
      </c>
      <c r="AI25" s="711"/>
      <c r="AJ25" s="468" t="e" cm="1">
        <f t="array" ref="AJ25">C_FNnet S_maxi_continu9</f>
        <v>#NAME?</v>
      </c>
      <c r="AK25" s="418" t="s">
        <v>510</v>
      </c>
      <c r="AM25" s="437"/>
      <c r="AN25" s="437"/>
      <c r="AO25" s="437"/>
      <c r="AP25" s="437"/>
      <c r="AQ25" s="437"/>
      <c r="AR25" s="399"/>
    </row>
    <row r="26" spans="2:44" s="60" customFormat="1" ht="15" x14ac:dyDescent="0.2">
      <c r="B26" s="407"/>
      <c r="C26" s="420" t="s">
        <v>75</v>
      </c>
      <c r="D26" s="711" cm="1">
        <f t="array" ref="D26">C_WF1 S_take_off1</f>
        <v>0</v>
      </c>
      <c r="E26" s="711"/>
      <c r="F26" s="417" cm="1">
        <f t="array" ref="F26">C_WF1 S_maxi_continu1</f>
        <v>0</v>
      </c>
      <c r="G26" s="421" t="s">
        <v>356</v>
      </c>
      <c r="I26" s="420" t="s">
        <v>75</v>
      </c>
      <c r="J26" s="417" cm="1">
        <f t="array" ref="J26">C_WF1 S_take_off2</f>
        <v>0</v>
      </c>
      <c r="K26" s="417" cm="1">
        <f t="array" ref="K26">C_WF1 S_maxi_continu2</f>
        <v>0</v>
      </c>
      <c r="L26" s="750" t="s">
        <v>356</v>
      </c>
      <c r="M26" s="751"/>
      <c r="N26" s="399"/>
      <c r="Q26" s="407"/>
      <c r="R26" s="420" t="s">
        <v>75</v>
      </c>
      <c r="S26" s="711" cm="1">
        <f t="array" ref="S26">C_WF1 S_take_off5</f>
        <v>0</v>
      </c>
      <c r="T26" s="711"/>
      <c r="U26" s="417" cm="1">
        <f t="array" ref="U26">C_WF1 S_maxi_continu5</f>
        <v>0</v>
      </c>
      <c r="V26" s="421" t="s">
        <v>356</v>
      </c>
      <c r="X26" s="420" t="s">
        <v>75</v>
      </c>
      <c r="Y26" s="417" t="e" cm="1">
        <f t="array" ref="Y26">C_WF1 S_take_off6</f>
        <v>#NAME?</v>
      </c>
      <c r="Z26" s="417" t="e" cm="1">
        <f t="array" ref="Z26">C_WF1 S_maxi_continu6</f>
        <v>#NAME?</v>
      </c>
      <c r="AA26" s="750" t="s">
        <v>356</v>
      </c>
      <c r="AB26" s="751"/>
      <c r="AC26" s="399"/>
      <c r="AF26" s="407"/>
      <c r="AG26" s="420" t="s">
        <v>75</v>
      </c>
      <c r="AH26" s="711" t="e" cm="1">
        <f t="array" ref="AH26">C_WF1 S_take_off9</f>
        <v>#NAME?</v>
      </c>
      <c r="AI26" s="711"/>
      <c r="AJ26" s="468" t="e" cm="1">
        <f t="array" ref="AJ26">C_WF1 S_maxi_continu9</f>
        <v>#NAME?</v>
      </c>
      <c r="AK26" s="421" t="s">
        <v>356</v>
      </c>
      <c r="AM26" s="437"/>
      <c r="AN26" s="437"/>
      <c r="AO26" s="437"/>
      <c r="AP26" s="437"/>
      <c r="AQ26" s="437"/>
      <c r="AR26" s="399"/>
    </row>
    <row r="27" spans="2:44" s="60" customFormat="1" ht="15" x14ac:dyDescent="0.2">
      <c r="B27" s="407"/>
      <c r="C27" s="420" t="s">
        <v>511</v>
      </c>
      <c r="D27" s="710" cm="1">
        <f t="array" ref="D27">C_T_Cell S_take_off1</f>
        <v>0</v>
      </c>
      <c r="E27" s="710"/>
      <c r="F27" s="419" cm="1">
        <f t="array" ref="F27">C_T_Cell S_maxi_continu1</f>
        <v>0</v>
      </c>
      <c r="G27" s="418" t="s">
        <v>331</v>
      </c>
      <c r="I27" s="420" t="s">
        <v>511</v>
      </c>
      <c r="J27" s="419" cm="1">
        <f t="array" ref="J27">C_T_Cell S_take_off2</f>
        <v>0</v>
      </c>
      <c r="K27" s="419" cm="1">
        <f t="array" ref="K27">C_T_Cell S_maxi_continu2</f>
        <v>0</v>
      </c>
      <c r="L27" s="752" t="s">
        <v>331</v>
      </c>
      <c r="M27" s="753"/>
      <c r="N27" s="399"/>
      <c r="Q27" s="407"/>
      <c r="R27" s="420" t="s">
        <v>511</v>
      </c>
      <c r="S27" s="710" cm="1">
        <f t="array" ref="S27">C_T_Cell S_take_off5</f>
        <v>0</v>
      </c>
      <c r="T27" s="710"/>
      <c r="U27" s="419" cm="1">
        <f t="array" ref="U27">C_T_Cell S_maxi_continu5</f>
        <v>0</v>
      </c>
      <c r="V27" s="418" t="s">
        <v>331</v>
      </c>
      <c r="X27" s="420" t="s">
        <v>511</v>
      </c>
      <c r="Y27" s="419" t="e" cm="1">
        <f t="array" ref="Y27">C_T_Cell S_take_off6</f>
        <v>#NAME?</v>
      </c>
      <c r="Z27" s="419" t="e" cm="1">
        <f t="array" ref="Z27">C_T_Cell S_maxi_continu6</f>
        <v>#NAME?</v>
      </c>
      <c r="AA27" s="752" t="s">
        <v>331</v>
      </c>
      <c r="AB27" s="753"/>
      <c r="AC27" s="399"/>
      <c r="AF27" s="407"/>
      <c r="AG27" s="420" t="s">
        <v>511</v>
      </c>
      <c r="AH27" s="710" t="e" cm="1">
        <f t="array" ref="AH27">C_T_Cell S_take_off9</f>
        <v>#NAME?</v>
      </c>
      <c r="AI27" s="710"/>
      <c r="AJ27" s="469" t="e" cm="1">
        <f t="array" ref="AJ27">C_T_Cell S_maxi_continu9</f>
        <v>#NAME?</v>
      </c>
      <c r="AK27" s="418" t="s">
        <v>331</v>
      </c>
      <c r="AM27" s="437"/>
      <c r="AN27" s="437"/>
      <c r="AO27" s="437"/>
      <c r="AP27" s="437"/>
      <c r="AQ27" s="437"/>
      <c r="AR27" s="399"/>
    </row>
    <row r="28" spans="2:44" s="60" customFormat="1" ht="15" x14ac:dyDescent="0.2">
      <c r="B28" s="407"/>
      <c r="C28" s="420" t="s">
        <v>62</v>
      </c>
      <c r="D28" s="710" cm="1">
        <f t="array" ref="D28">C_RHUM S_take_off1</f>
        <v>0</v>
      </c>
      <c r="E28" s="710"/>
      <c r="F28" s="419" cm="1">
        <f t="array" ref="F28">C_RHUM S_maxi_continu1</f>
        <v>0</v>
      </c>
      <c r="G28" s="421" t="s">
        <v>3</v>
      </c>
      <c r="I28" s="420" t="s">
        <v>62</v>
      </c>
      <c r="J28" s="419" cm="1">
        <f t="array" ref="J28">C_RHUM S_take_off2</f>
        <v>0</v>
      </c>
      <c r="K28" s="419" cm="1">
        <f t="array" ref="K28">C_RHUM S_maxi_continu2</f>
        <v>0</v>
      </c>
      <c r="L28" s="750" t="s">
        <v>3</v>
      </c>
      <c r="M28" s="751"/>
      <c r="N28" s="399"/>
      <c r="Q28" s="407"/>
      <c r="R28" s="420" t="s">
        <v>62</v>
      </c>
      <c r="S28" s="710" cm="1">
        <f t="array" ref="S28">C_RHUM S_take_off5</f>
        <v>0</v>
      </c>
      <c r="T28" s="710"/>
      <c r="U28" s="419" cm="1">
        <f t="array" ref="U28">C_RHUM S_maxi_continu5</f>
        <v>0</v>
      </c>
      <c r="V28" s="421" t="s">
        <v>3</v>
      </c>
      <c r="X28" s="420" t="s">
        <v>62</v>
      </c>
      <c r="Y28" s="419" t="e" cm="1">
        <f t="array" ref="Y28">C_RHUM S_take_off6</f>
        <v>#NAME?</v>
      </c>
      <c r="Z28" s="419" t="e" cm="1">
        <f t="array" ref="Z28">C_RHUM S_maxi_continu6</f>
        <v>#NAME?</v>
      </c>
      <c r="AA28" s="750" t="s">
        <v>3</v>
      </c>
      <c r="AB28" s="751"/>
      <c r="AC28" s="399"/>
      <c r="AF28" s="407"/>
      <c r="AG28" s="420" t="s">
        <v>62</v>
      </c>
      <c r="AH28" s="710" t="e" cm="1">
        <f t="array" ref="AH28">C_RHUM S_take_off9</f>
        <v>#NAME?</v>
      </c>
      <c r="AI28" s="710"/>
      <c r="AJ28" s="469" t="e" cm="1">
        <f t="array" ref="AJ28">C_RHUM S_maxi_continu9</f>
        <v>#NAME?</v>
      </c>
      <c r="AK28" s="421" t="s">
        <v>3</v>
      </c>
      <c r="AM28" s="437"/>
      <c r="AN28" s="437"/>
      <c r="AO28" s="437"/>
      <c r="AP28" s="437"/>
      <c r="AQ28" s="437"/>
      <c r="AR28" s="399"/>
    </row>
    <row r="29" spans="2:44" s="60" customFormat="1" ht="15" x14ac:dyDescent="0.2">
      <c r="B29" s="407"/>
      <c r="C29" s="420" t="s">
        <v>21</v>
      </c>
      <c r="D29" s="710" t="e" cm="1">
        <f t="array" ref="D29">C_HUM S_take_off1</f>
        <v>#REF!</v>
      </c>
      <c r="E29" s="710"/>
      <c r="F29" s="419" t="e" cm="1">
        <f t="array" ref="F29">C_HUM S_maxi_continu1</f>
        <v>#REF!</v>
      </c>
      <c r="G29" s="421" t="s">
        <v>366</v>
      </c>
      <c r="I29" s="420" t="s">
        <v>21</v>
      </c>
      <c r="J29" s="419" t="e" cm="1">
        <f t="array" ref="J29">C_HUM S_take_off2</f>
        <v>#REF!</v>
      </c>
      <c r="K29" s="419" t="e" cm="1">
        <f t="array" ref="K29">C_HUM S_maxi_continu2</f>
        <v>#REF!</v>
      </c>
      <c r="L29" s="750" t="s">
        <v>366</v>
      </c>
      <c r="M29" s="751"/>
      <c r="N29" s="399"/>
      <c r="Q29" s="407"/>
      <c r="R29" s="420" t="s">
        <v>21</v>
      </c>
      <c r="S29" s="710" t="e" cm="1">
        <f t="array" ref="S29">C_HUM S_take_off5</f>
        <v>#REF!</v>
      </c>
      <c r="T29" s="710"/>
      <c r="U29" s="419" t="e" cm="1">
        <f t="array" ref="U29">C_HUM S_maxi_continu5</f>
        <v>#REF!</v>
      </c>
      <c r="V29" s="421" t="s">
        <v>366</v>
      </c>
      <c r="X29" s="420" t="s">
        <v>21</v>
      </c>
      <c r="Y29" s="419" t="e" cm="1">
        <f t="array" ref="Y29">C_HUM S_take_off6</f>
        <v>#REF!</v>
      </c>
      <c r="Z29" s="419" t="e" cm="1">
        <f t="array" ref="Z29">C_HUM S_maxi_continu6</f>
        <v>#REF!</v>
      </c>
      <c r="AA29" s="750" t="s">
        <v>366</v>
      </c>
      <c r="AB29" s="751"/>
      <c r="AC29" s="399"/>
      <c r="AF29" s="407"/>
      <c r="AG29" s="420" t="s">
        <v>21</v>
      </c>
      <c r="AH29" s="710" t="e" cm="1">
        <f t="array" ref="AH29">C_HUM S_take_off9</f>
        <v>#REF!</v>
      </c>
      <c r="AI29" s="710"/>
      <c r="AJ29" s="469" t="e" cm="1">
        <f t="array" ref="AJ29">C_HUM S_maxi_continu9</f>
        <v>#REF!</v>
      </c>
      <c r="AK29" s="421" t="s">
        <v>366</v>
      </c>
      <c r="AM29" s="437"/>
      <c r="AN29" s="437"/>
      <c r="AO29" s="437"/>
      <c r="AP29" s="437"/>
      <c r="AQ29" s="437"/>
      <c r="AR29" s="399"/>
    </row>
    <row r="30" spans="2:44" s="60" customFormat="1" ht="15" x14ac:dyDescent="0.2">
      <c r="B30" s="407"/>
      <c r="C30" s="420" t="s">
        <v>46</v>
      </c>
      <c r="D30" s="708" cm="1">
        <f t="array" ref="D30">C_PAMB1 S_take_off1</f>
        <v>0</v>
      </c>
      <c r="E30" s="708"/>
      <c r="F30" s="422" cm="1">
        <f t="array" ref="F30">C_PAMB1 S_maxi_continu1</f>
        <v>0</v>
      </c>
      <c r="G30" s="421" t="s">
        <v>367</v>
      </c>
      <c r="I30" s="420" t="s">
        <v>46</v>
      </c>
      <c r="J30" s="422" cm="1">
        <f t="array" ref="J30">C_PAMB1 S_take_off2</f>
        <v>0</v>
      </c>
      <c r="K30" s="422" cm="1">
        <f t="array" ref="K30">C_PAMB1 S_maxi_continu2</f>
        <v>0</v>
      </c>
      <c r="L30" s="750" t="s">
        <v>367</v>
      </c>
      <c r="M30" s="751"/>
      <c r="N30" s="399"/>
      <c r="Q30" s="407"/>
      <c r="R30" s="420" t="s">
        <v>46</v>
      </c>
      <c r="S30" s="708" cm="1">
        <f t="array" ref="S30">C_PAMB1 S_take_off5</f>
        <v>0</v>
      </c>
      <c r="T30" s="708"/>
      <c r="U30" s="422" cm="1">
        <f t="array" ref="U30">C_PAMB1 S_maxi_continu5</f>
        <v>0</v>
      </c>
      <c r="V30" s="421" t="s">
        <v>367</v>
      </c>
      <c r="X30" s="420" t="s">
        <v>46</v>
      </c>
      <c r="Y30" s="422" t="e" cm="1">
        <f t="array" ref="Y30">C_PAMB1 S_take_off6</f>
        <v>#NAME?</v>
      </c>
      <c r="Z30" s="422" t="e" cm="1">
        <f t="array" ref="Z30">C_PAMB1 S_maxi_continu6</f>
        <v>#NAME?</v>
      </c>
      <c r="AA30" s="750" t="s">
        <v>367</v>
      </c>
      <c r="AB30" s="751"/>
      <c r="AC30" s="399"/>
      <c r="AF30" s="407"/>
      <c r="AG30" s="420" t="s">
        <v>46</v>
      </c>
      <c r="AH30" s="708" t="e" cm="1">
        <f t="array" ref="AH30">C_PAMB1 S_take_off9</f>
        <v>#NAME?</v>
      </c>
      <c r="AI30" s="708"/>
      <c r="AJ30" s="470" t="e" cm="1">
        <f t="array" ref="AJ30">C_PAMB1 S_maxi_continu9</f>
        <v>#NAME?</v>
      </c>
      <c r="AK30" s="421" t="s">
        <v>367</v>
      </c>
      <c r="AM30" s="437"/>
      <c r="AN30" s="437"/>
      <c r="AO30" s="437"/>
      <c r="AP30" s="437"/>
      <c r="AQ30" s="437"/>
      <c r="AR30" s="399"/>
    </row>
    <row r="31" spans="2:44" s="60" customFormat="1" ht="15" x14ac:dyDescent="0.2">
      <c r="B31" s="407"/>
      <c r="C31" s="420" t="s">
        <v>514</v>
      </c>
      <c r="D31" s="708" cm="1">
        <f t="array" ref="D31">C_PT2_ECU_A S_take_off1</f>
        <v>0</v>
      </c>
      <c r="E31" s="708"/>
      <c r="F31" s="422" cm="1">
        <f t="array" ref="F31">C_PT2_ECU_A S_maxi_continu1</f>
        <v>0</v>
      </c>
      <c r="G31" s="421" t="s">
        <v>367</v>
      </c>
      <c r="I31" s="420" t="s">
        <v>514</v>
      </c>
      <c r="J31" s="422" cm="1">
        <f t="array" ref="J31">C_PT2_ECU_A S_take_off2</f>
        <v>0</v>
      </c>
      <c r="K31" s="422" cm="1">
        <f t="array" ref="K31">C_PT2_ECU_A S_maxi_continu2</f>
        <v>0</v>
      </c>
      <c r="L31" s="750" t="s">
        <v>367</v>
      </c>
      <c r="M31" s="751"/>
      <c r="N31" s="399"/>
      <c r="Q31" s="407"/>
      <c r="R31" s="420" t="s">
        <v>514</v>
      </c>
      <c r="S31" s="708" cm="1">
        <f t="array" ref="S31">C_PT2_ECU_A S_take_off5</f>
        <v>0</v>
      </c>
      <c r="T31" s="708"/>
      <c r="U31" s="422" cm="1">
        <f t="array" ref="U31">C_PT2_ECU_A S_maxi_continu5</f>
        <v>0</v>
      </c>
      <c r="V31" s="421" t="s">
        <v>367</v>
      </c>
      <c r="X31" s="420" t="s">
        <v>514</v>
      </c>
      <c r="Y31" s="422" t="e" cm="1">
        <f t="array" ref="Y31">C_PT2_ECU_A S_take_off6</f>
        <v>#NAME?</v>
      </c>
      <c r="Z31" s="422" t="e" cm="1">
        <f t="array" ref="Z31">C_PT2_ECU_A S_maxi_continu6</f>
        <v>#NAME?</v>
      </c>
      <c r="AA31" s="750" t="s">
        <v>367</v>
      </c>
      <c r="AB31" s="751"/>
      <c r="AC31" s="399"/>
      <c r="AF31" s="407"/>
      <c r="AG31" s="420" t="s">
        <v>514</v>
      </c>
      <c r="AH31" s="708" t="e" cm="1">
        <f t="array" ref="AH31">C_PT2_ECU_A S_take_off9</f>
        <v>#NAME?</v>
      </c>
      <c r="AI31" s="708"/>
      <c r="AJ31" s="470" t="e" cm="1">
        <f t="array" ref="AJ31">C_PT2_ECU_A S_maxi_continu9</f>
        <v>#NAME?</v>
      </c>
      <c r="AK31" s="421" t="s">
        <v>367</v>
      </c>
      <c r="AM31" s="437"/>
      <c r="AN31" s="437"/>
      <c r="AO31" s="437"/>
      <c r="AP31" s="437"/>
      <c r="AQ31" s="437"/>
      <c r="AR31" s="399"/>
    </row>
    <row r="32" spans="2:44" s="60" customFormat="1" ht="15" x14ac:dyDescent="0.2">
      <c r="B32" s="407"/>
      <c r="C32" s="420" t="s">
        <v>50</v>
      </c>
      <c r="D32" s="708" cm="1">
        <f t="array" ref="D32">C_PS2W S_take_off1</f>
        <v>0</v>
      </c>
      <c r="E32" s="708"/>
      <c r="F32" s="422" cm="1">
        <f t="array" ref="F32">C_PS2W S_maxi_continu1</f>
        <v>0</v>
      </c>
      <c r="G32" s="421" t="s">
        <v>367</v>
      </c>
      <c r="I32" s="420" t="s">
        <v>50</v>
      </c>
      <c r="J32" s="422" cm="1">
        <f t="array" ref="J32">C_PS2W S_take_off2</f>
        <v>0</v>
      </c>
      <c r="K32" s="422" cm="1">
        <f t="array" ref="K32">C_PS2W S_maxi_continu2</f>
        <v>0</v>
      </c>
      <c r="L32" s="750" t="s">
        <v>367</v>
      </c>
      <c r="M32" s="751"/>
      <c r="N32" s="399"/>
      <c r="Q32" s="407"/>
      <c r="R32" s="420" t="s">
        <v>50</v>
      </c>
      <c r="S32" s="708" cm="1">
        <f t="array" ref="S32">C_PS2W S_take_off5</f>
        <v>0</v>
      </c>
      <c r="T32" s="708"/>
      <c r="U32" s="422" cm="1">
        <f t="array" ref="U32">C_PS2W S_maxi_continu5</f>
        <v>0</v>
      </c>
      <c r="V32" s="421" t="s">
        <v>367</v>
      </c>
      <c r="X32" s="420" t="s">
        <v>50</v>
      </c>
      <c r="Y32" s="422" t="e" cm="1">
        <f t="array" ref="Y32">C_PS2W S_take_off6</f>
        <v>#NAME?</v>
      </c>
      <c r="Z32" s="422" t="e" cm="1">
        <f t="array" ref="Z32">C_PS2W S_maxi_continu6</f>
        <v>#NAME?</v>
      </c>
      <c r="AA32" s="750" t="s">
        <v>367</v>
      </c>
      <c r="AB32" s="751"/>
      <c r="AC32" s="399"/>
      <c r="AF32" s="407"/>
      <c r="AG32" s="420" t="s">
        <v>50</v>
      </c>
      <c r="AH32" s="708" t="e" cm="1">
        <f t="array" ref="AH32">C_PS2W S_take_off9</f>
        <v>#NAME?</v>
      </c>
      <c r="AI32" s="708"/>
      <c r="AJ32" s="470" t="e" cm="1">
        <f t="array" ref="AJ32">C_PS2W S_maxi_continu9</f>
        <v>#NAME?</v>
      </c>
      <c r="AK32" s="421" t="s">
        <v>367</v>
      </c>
      <c r="AM32" s="437"/>
      <c r="AN32" s="437"/>
      <c r="AO32" s="437"/>
      <c r="AP32" s="437"/>
      <c r="AQ32" s="437"/>
      <c r="AR32" s="399"/>
    </row>
    <row r="33" spans="2:44" s="60" customFormat="1" ht="15" x14ac:dyDescent="0.2">
      <c r="B33" s="407"/>
      <c r="C33" s="420" t="s">
        <v>23</v>
      </c>
      <c r="D33" s="711" cm="1">
        <f t="array" ref="D33">C_LHV S_take_off1</f>
        <v>0</v>
      </c>
      <c r="E33" s="711"/>
      <c r="F33" s="417" cm="1">
        <f t="array" ref="F33">C_LHV S_maxi_continu1</f>
        <v>0</v>
      </c>
      <c r="G33" s="421" t="s">
        <v>365</v>
      </c>
      <c r="I33" s="420" t="s">
        <v>23</v>
      </c>
      <c r="J33" s="417" cm="1">
        <f t="array" ref="J33">C_LHV S_take_off2</f>
        <v>0</v>
      </c>
      <c r="K33" s="417" cm="1">
        <f t="array" ref="K33">C_LHV S_maxi_continu2</f>
        <v>0</v>
      </c>
      <c r="L33" s="750" t="s">
        <v>365</v>
      </c>
      <c r="M33" s="751"/>
      <c r="N33" s="399"/>
      <c r="Q33" s="407"/>
      <c r="R33" s="420" t="s">
        <v>23</v>
      </c>
      <c r="S33" s="711" cm="1">
        <f t="array" ref="S33">C_LHV S_take_off5</f>
        <v>0</v>
      </c>
      <c r="T33" s="711"/>
      <c r="U33" s="417" cm="1">
        <f t="array" ref="U33">C_LHV S_maxi_continu5</f>
        <v>0</v>
      </c>
      <c r="V33" s="421" t="s">
        <v>365</v>
      </c>
      <c r="X33" s="420" t="s">
        <v>23</v>
      </c>
      <c r="Y33" s="417" t="e" cm="1">
        <f t="array" ref="Y33">C_LHV S_take_off6</f>
        <v>#NAME?</v>
      </c>
      <c r="Z33" s="417" t="e" cm="1">
        <f t="array" ref="Z33">C_LHV S_maxi_continu6</f>
        <v>#NAME?</v>
      </c>
      <c r="AA33" s="750" t="s">
        <v>365</v>
      </c>
      <c r="AB33" s="751"/>
      <c r="AC33" s="399"/>
      <c r="AF33" s="407"/>
      <c r="AG33" s="420" t="s">
        <v>23</v>
      </c>
      <c r="AH33" s="711" t="e" cm="1">
        <f t="array" ref="AH33">C_LHV S_take_off9</f>
        <v>#NAME?</v>
      </c>
      <c r="AI33" s="711"/>
      <c r="AJ33" s="468" t="e" cm="1">
        <f t="array" ref="AJ33">C_LHV S_maxi_continu9</f>
        <v>#NAME?</v>
      </c>
      <c r="AK33" s="421" t="s">
        <v>365</v>
      </c>
      <c r="AM33" s="437"/>
      <c r="AN33" s="437"/>
      <c r="AO33" s="437"/>
      <c r="AP33" s="437"/>
      <c r="AQ33" s="437"/>
      <c r="AR33" s="399"/>
    </row>
    <row r="34" spans="2:44" s="60" customFormat="1" ht="15" x14ac:dyDescent="0.2">
      <c r="B34" s="407"/>
      <c r="C34" s="420" t="s">
        <v>60</v>
      </c>
      <c r="D34" s="708" cm="1">
        <f t="array" ref="D34">C_PT495 S_take_off1</f>
        <v>0</v>
      </c>
      <c r="E34" s="708"/>
      <c r="F34" s="422" cm="1">
        <f t="array" ref="F34">C_PT495 S_maxi_continu1</f>
        <v>0</v>
      </c>
      <c r="G34" s="421" t="s">
        <v>367</v>
      </c>
      <c r="I34" s="420" t="s">
        <v>60</v>
      </c>
      <c r="J34" s="422" cm="1">
        <f t="array" ref="J34">C_PT495 S_take_off2</f>
        <v>0</v>
      </c>
      <c r="K34" s="422" cm="1">
        <f t="array" ref="K34">C_PT495 S_maxi_continu2</f>
        <v>0</v>
      </c>
      <c r="L34" s="750" t="s">
        <v>367</v>
      </c>
      <c r="M34" s="751"/>
      <c r="N34" s="399"/>
      <c r="Q34" s="407"/>
      <c r="R34" s="420" t="s">
        <v>60</v>
      </c>
      <c r="S34" s="708" cm="1">
        <f t="array" ref="S34">C_PT495 S_take_off5</f>
        <v>0</v>
      </c>
      <c r="T34" s="708"/>
      <c r="U34" s="422" cm="1">
        <f t="array" ref="U34">C_PT495 S_maxi_continu5</f>
        <v>0</v>
      </c>
      <c r="V34" s="421" t="s">
        <v>367</v>
      </c>
      <c r="X34" s="420" t="s">
        <v>60</v>
      </c>
      <c r="Y34" s="422" t="e" cm="1">
        <f t="array" ref="Y34">C_PT495 S_take_off6</f>
        <v>#NAME?</v>
      </c>
      <c r="Z34" s="422" t="e" cm="1">
        <f t="array" ref="Z34">C_PT495 S_maxi_continu6</f>
        <v>#NAME?</v>
      </c>
      <c r="AA34" s="750" t="s">
        <v>367</v>
      </c>
      <c r="AB34" s="751"/>
      <c r="AC34" s="399"/>
      <c r="AF34" s="407"/>
      <c r="AG34" s="420" t="s">
        <v>60</v>
      </c>
      <c r="AH34" s="708" t="e" cm="1">
        <f t="array" ref="AH34">C_PT495 S_take_off9</f>
        <v>#NAME?</v>
      </c>
      <c r="AI34" s="708"/>
      <c r="AJ34" s="470" t="e" cm="1">
        <f t="array" ref="AJ34">C_PT495 S_maxi_continu9</f>
        <v>#NAME?</v>
      </c>
      <c r="AK34" s="421" t="s">
        <v>367</v>
      </c>
      <c r="AM34" s="437"/>
      <c r="AN34" s="437"/>
      <c r="AO34" s="437"/>
      <c r="AP34" s="437"/>
      <c r="AQ34" s="437"/>
      <c r="AR34" s="399"/>
    </row>
    <row r="35" spans="2:44" s="60" customFormat="1" ht="15.75" thickBot="1" x14ac:dyDescent="0.25">
      <c r="B35" s="407"/>
      <c r="C35" s="423" t="s">
        <v>22</v>
      </c>
      <c r="D35" s="709" cm="1">
        <f t="array" ref="D35">C_KSHUNT S_take_off1</f>
        <v>0</v>
      </c>
      <c r="E35" s="709"/>
      <c r="F35" s="424" cm="1">
        <f t="array" ref="F35">C_KSHUNT S_maxi_continu1</f>
        <v>0</v>
      </c>
      <c r="G35" s="436" t="s">
        <v>0</v>
      </c>
      <c r="I35" s="423" t="s">
        <v>22</v>
      </c>
      <c r="J35" s="424" cm="1">
        <f t="array" ref="J35">C_KSHUNT S_take_off2</f>
        <v>0</v>
      </c>
      <c r="K35" s="424" cm="1">
        <f t="array" ref="K35">C_KSHUNT S_maxi_continu2</f>
        <v>0</v>
      </c>
      <c r="L35" s="754" t="s">
        <v>0</v>
      </c>
      <c r="M35" s="755"/>
      <c r="N35" s="399"/>
      <c r="Q35" s="407"/>
      <c r="R35" s="423" t="s">
        <v>22</v>
      </c>
      <c r="S35" s="709" cm="1">
        <f t="array" ref="S35">C_KSHUNT S_take_off5</f>
        <v>0</v>
      </c>
      <c r="T35" s="709"/>
      <c r="U35" s="424" cm="1">
        <f t="array" ref="U35">C_KSHUNT S_maxi_continu5</f>
        <v>0</v>
      </c>
      <c r="V35" s="436" t="s">
        <v>0</v>
      </c>
      <c r="X35" s="423" t="s">
        <v>22</v>
      </c>
      <c r="Y35" s="424" t="e" cm="1">
        <f t="array" ref="Y35">C_KSHUNT S_take_off6</f>
        <v>#NAME?</v>
      </c>
      <c r="Z35" s="424" t="e" cm="1">
        <f t="array" ref="Z35">C_KSHUNT S_maxi_continu6</f>
        <v>#NAME?</v>
      </c>
      <c r="AA35" s="754" t="s">
        <v>0</v>
      </c>
      <c r="AB35" s="755"/>
      <c r="AC35" s="399"/>
      <c r="AF35" s="407"/>
      <c r="AG35" s="423" t="s">
        <v>22</v>
      </c>
      <c r="AH35" s="709" t="e" cm="1">
        <f t="array" ref="AH35">C_KSHUNT S_take_off9</f>
        <v>#NAME?</v>
      </c>
      <c r="AI35" s="709"/>
      <c r="AJ35" s="471" t="e" cm="1">
        <f t="array" ref="AJ35">C_KSHUNT S_maxi_continu9</f>
        <v>#NAME?</v>
      </c>
      <c r="AK35" s="436" t="s">
        <v>0</v>
      </c>
      <c r="AM35" s="437"/>
      <c r="AN35" s="437"/>
      <c r="AO35" s="437"/>
      <c r="AP35" s="437"/>
      <c r="AQ35" s="437"/>
      <c r="AR35" s="399"/>
    </row>
    <row r="36" spans="2:44" s="60" customFormat="1" ht="15" x14ac:dyDescent="0.2">
      <c r="B36" s="407"/>
      <c r="C36" s="435"/>
      <c r="D36" s="437"/>
      <c r="E36" s="437"/>
      <c r="F36" s="437"/>
      <c r="G36" s="438"/>
      <c r="I36" s="435"/>
      <c r="J36" s="437"/>
      <c r="K36" s="437"/>
      <c r="L36" s="439"/>
      <c r="M36" s="440"/>
      <c r="N36" s="399"/>
      <c r="Q36" s="407"/>
      <c r="R36" s="435"/>
      <c r="S36" s="437"/>
      <c r="T36" s="437"/>
      <c r="U36" s="437"/>
      <c r="V36" s="438"/>
      <c r="X36" s="435"/>
      <c r="Y36" s="437"/>
      <c r="Z36" s="437"/>
      <c r="AA36" s="439"/>
      <c r="AB36" s="440"/>
      <c r="AC36" s="399"/>
      <c r="AF36" s="407"/>
      <c r="AG36" s="435"/>
      <c r="AH36" s="437"/>
      <c r="AI36" s="437"/>
      <c r="AJ36" s="437"/>
      <c r="AK36" s="438"/>
      <c r="AM36" s="437"/>
      <c r="AN36" s="437"/>
      <c r="AO36" s="437"/>
      <c r="AP36" s="437"/>
      <c r="AQ36" s="437"/>
      <c r="AR36" s="399"/>
    </row>
    <row r="37" spans="2:44" s="60" customFormat="1" ht="15" x14ac:dyDescent="0.2">
      <c r="B37" s="407"/>
      <c r="C37" s="435"/>
      <c r="D37" s="437"/>
      <c r="E37" s="437"/>
      <c r="F37" s="437"/>
      <c r="G37" s="438"/>
      <c r="I37" s="435"/>
      <c r="J37" s="437"/>
      <c r="K37" s="437"/>
      <c r="L37" s="439"/>
      <c r="M37" s="440"/>
      <c r="N37" s="399"/>
      <c r="Q37" s="407"/>
      <c r="R37" s="435"/>
      <c r="S37" s="437"/>
      <c r="T37" s="437"/>
      <c r="U37" s="437"/>
      <c r="V37" s="438"/>
      <c r="X37" s="435"/>
      <c r="Y37" s="437"/>
      <c r="Z37" s="437"/>
      <c r="AA37" s="439"/>
      <c r="AB37" s="440"/>
      <c r="AC37" s="399"/>
      <c r="AF37" s="407"/>
      <c r="AG37" s="435"/>
      <c r="AH37" s="437"/>
      <c r="AI37" s="437"/>
      <c r="AJ37" s="437"/>
      <c r="AK37" s="438"/>
      <c r="AM37" s="437"/>
      <c r="AN37" s="437"/>
      <c r="AO37" s="437"/>
      <c r="AP37" s="437"/>
      <c r="AQ37" s="437"/>
      <c r="AR37" s="399"/>
    </row>
    <row r="38" spans="2:44" s="60" customFormat="1" ht="15" x14ac:dyDescent="0.2">
      <c r="B38" s="407"/>
      <c r="C38" s="435"/>
      <c r="D38" s="437"/>
      <c r="E38" s="437"/>
      <c r="F38" s="437"/>
      <c r="G38" s="438"/>
      <c r="I38" s="435"/>
      <c r="J38" s="437"/>
      <c r="K38" s="437"/>
      <c r="L38" s="439"/>
      <c r="M38" s="440"/>
      <c r="N38" s="399"/>
      <c r="Q38" s="407"/>
      <c r="R38" s="435"/>
      <c r="S38" s="437"/>
      <c r="T38" s="437"/>
      <c r="U38" s="437"/>
      <c r="V38" s="438"/>
      <c r="X38" s="435"/>
      <c r="Y38" s="437"/>
      <c r="Z38" s="437"/>
      <c r="AA38" s="439"/>
      <c r="AB38" s="440"/>
      <c r="AC38" s="399"/>
      <c r="AF38" s="40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399"/>
    </row>
    <row r="39" spans="2:44" s="60" customFormat="1" ht="15.75" thickBot="1" x14ac:dyDescent="0.25">
      <c r="B39" s="407"/>
      <c r="C39" s="435"/>
      <c r="D39" s="437"/>
      <c r="E39" s="437"/>
      <c r="F39" s="437"/>
      <c r="G39" s="438"/>
      <c r="I39" s="435"/>
      <c r="J39" s="437"/>
      <c r="K39" s="437"/>
      <c r="L39" s="439"/>
      <c r="M39" s="440"/>
      <c r="N39" s="399"/>
      <c r="Q39" s="407"/>
      <c r="R39" s="435"/>
      <c r="S39" s="437"/>
      <c r="T39" s="437"/>
      <c r="U39" s="437"/>
      <c r="V39" s="438"/>
      <c r="X39" s="435"/>
      <c r="Y39" s="437"/>
      <c r="Z39" s="437"/>
      <c r="AA39" s="439"/>
      <c r="AB39" s="440"/>
      <c r="AC39" s="399"/>
      <c r="AF39" s="407"/>
      <c r="AG39" s="437"/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399"/>
    </row>
    <row r="40" spans="2:44" s="60" customFormat="1" ht="21" thickBot="1" x14ac:dyDescent="0.35">
      <c r="B40" s="407"/>
      <c r="C40" s="712" t="s">
        <v>448</v>
      </c>
      <c r="D40" s="713"/>
      <c r="E40" s="713"/>
      <c r="F40" s="713"/>
      <c r="G40" s="714"/>
      <c r="H40" s="405"/>
      <c r="I40" s="712" t="s">
        <v>449</v>
      </c>
      <c r="J40" s="713"/>
      <c r="K40" s="713"/>
      <c r="L40" s="713"/>
      <c r="M40" s="714"/>
      <c r="N40" s="399"/>
      <c r="Q40" s="407"/>
      <c r="R40" s="712" t="s">
        <v>452</v>
      </c>
      <c r="S40" s="713"/>
      <c r="T40" s="713"/>
      <c r="U40" s="713"/>
      <c r="V40" s="714"/>
      <c r="W40" s="405"/>
      <c r="X40" s="712" t="s">
        <v>453</v>
      </c>
      <c r="Y40" s="713"/>
      <c r="Z40" s="713"/>
      <c r="AA40" s="713"/>
      <c r="AB40" s="714"/>
      <c r="AC40" s="399"/>
      <c r="AF40" s="407"/>
      <c r="AG40" s="437"/>
      <c r="AH40" s="437"/>
      <c r="AI40" s="437"/>
      <c r="AJ40" s="437"/>
      <c r="AK40" s="437"/>
      <c r="AL40" s="437"/>
      <c r="AM40" s="437"/>
      <c r="AN40" s="437"/>
      <c r="AO40" s="437"/>
      <c r="AP40" s="437"/>
      <c r="AQ40" s="437"/>
      <c r="AR40" s="399"/>
    </row>
    <row r="41" spans="2:44" s="60" customFormat="1" ht="16.5" thickBot="1" x14ac:dyDescent="0.3">
      <c r="B41" s="407"/>
      <c r="C41" s="406" t="s">
        <v>508</v>
      </c>
      <c r="D41" s="716" cm="1">
        <f t="array" ref="D41" xml:space="preserve"> VLOOKUP(C_Engine_Rating S_take_off3, enum_list!$A$2:$F$102,3,1)</f>
        <v>0</v>
      </c>
      <c r="E41" s="716"/>
      <c r="F41" s="716"/>
      <c r="G41" s="717"/>
      <c r="H41" s="405"/>
      <c r="I41" s="406" t="s">
        <v>508</v>
      </c>
      <c r="J41" s="716" cm="1">
        <f t="array" ref="J41" xml:space="preserve"> VLOOKUP(C_Engine_Rating S_take_off4, enum_list!$A$2:$F$102,3,1)</f>
        <v>0</v>
      </c>
      <c r="K41" s="716"/>
      <c r="L41" s="716"/>
      <c r="M41" s="717"/>
      <c r="N41" s="399"/>
      <c r="Q41" s="407"/>
      <c r="R41" s="406" t="s">
        <v>508</v>
      </c>
      <c r="S41" s="716" t="e" cm="1">
        <f t="array" ref="S41" xml:space="preserve"> VLOOKUP(C_Engine_Rating S_take_off7, enum_list!$A$2:$F$102,3,1)</f>
        <v>#NAME?</v>
      </c>
      <c r="T41" s="716"/>
      <c r="U41" s="716"/>
      <c r="V41" s="717"/>
      <c r="W41" s="405"/>
      <c r="X41" s="406" t="s">
        <v>508</v>
      </c>
      <c r="Y41" s="716" t="e" cm="1">
        <f t="array" ref="Y41" xml:space="preserve"> VLOOKUP(C_Engine_Rating S_take_off8, enum_list!$A$2:$F$102,3,1)</f>
        <v>#NAME?</v>
      </c>
      <c r="Z41" s="716"/>
      <c r="AA41" s="716"/>
      <c r="AB41" s="717"/>
      <c r="AC41" s="399"/>
      <c r="AF41" s="407"/>
      <c r="AG41" s="437"/>
      <c r="AH41" s="437"/>
      <c r="AI41" s="437"/>
      <c r="AJ41" s="437"/>
      <c r="AK41" s="437"/>
      <c r="AL41" s="437"/>
      <c r="AM41" s="437"/>
      <c r="AN41" s="437"/>
      <c r="AO41" s="437"/>
      <c r="AP41" s="437"/>
      <c r="AQ41" s="437"/>
      <c r="AR41" s="399"/>
    </row>
    <row r="42" spans="2:44" s="60" customFormat="1" ht="16.5" thickBot="1" x14ac:dyDescent="0.3">
      <c r="B42" s="407"/>
      <c r="C42" s="408"/>
      <c r="D42" s="719" t="s">
        <v>465</v>
      </c>
      <c r="E42" s="720"/>
      <c r="F42" s="409" t="s">
        <v>466</v>
      </c>
      <c r="G42" s="410"/>
      <c r="I42" s="408"/>
      <c r="J42" s="409" t="s">
        <v>465</v>
      </c>
      <c r="K42" s="409" t="s">
        <v>466</v>
      </c>
      <c r="L42" s="719"/>
      <c r="M42" s="720"/>
      <c r="N42" s="399"/>
      <c r="Q42" s="407"/>
      <c r="R42" s="408"/>
      <c r="S42" s="719" t="s">
        <v>465</v>
      </c>
      <c r="T42" s="720"/>
      <c r="U42" s="409" t="s">
        <v>466</v>
      </c>
      <c r="V42" s="410"/>
      <c r="X42" s="408"/>
      <c r="Y42" s="409" t="s">
        <v>465</v>
      </c>
      <c r="Z42" s="409" t="s">
        <v>466</v>
      </c>
      <c r="AA42" s="719"/>
      <c r="AB42" s="720"/>
      <c r="AC42" s="399"/>
      <c r="AF42" s="407"/>
      <c r="AG42" s="437"/>
      <c r="AH42" s="437"/>
      <c r="AI42" s="437"/>
      <c r="AJ42" s="437"/>
      <c r="AK42" s="437"/>
      <c r="AL42" s="437"/>
      <c r="AM42" s="437"/>
      <c r="AN42" s="437"/>
      <c r="AO42" s="437"/>
      <c r="AP42" s="437"/>
      <c r="AQ42" s="437"/>
      <c r="AR42" s="399"/>
    </row>
    <row r="43" spans="2:44" s="60" customFormat="1" ht="15" x14ac:dyDescent="0.2">
      <c r="B43" s="407"/>
      <c r="C43" s="413" t="s">
        <v>29</v>
      </c>
      <c r="D43" s="722" cm="1">
        <f t="array" ref="D43">C_N1 S_take_off3</f>
        <v>0</v>
      </c>
      <c r="E43" s="722"/>
      <c r="F43" s="414" cm="1">
        <f t="array" ref="F43">C_N1 S_maxi_continu3</f>
        <v>0</v>
      </c>
      <c r="G43" s="415" t="s">
        <v>329</v>
      </c>
      <c r="I43" s="413" t="s">
        <v>29</v>
      </c>
      <c r="J43" s="414" cm="1">
        <f t="array" ref="J43">C_N1 S_take_off4</f>
        <v>0</v>
      </c>
      <c r="K43" s="414" cm="1">
        <f t="array" ref="K43">C_N1 S_maxi_continu4</f>
        <v>0</v>
      </c>
      <c r="L43" s="748" t="s">
        <v>329</v>
      </c>
      <c r="M43" s="749"/>
      <c r="N43" s="399"/>
      <c r="Q43" s="407"/>
      <c r="R43" s="413" t="s">
        <v>29</v>
      </c>
      <c r="S43" s="722" t="e" cm="1">
        <f t="array" ref="S43">C_N1 S_take_off7</f>
        <v>#NAME?</v>
      </c>
      <c r="T43" s="722"/>
      <c r="U43" s="414" t="e" cm="1">
        <f t="array" ref="U43">C_N1 S_maxi_continu7</f>
        <v>#NAME?</v>
      </c>
      <c r="V43" s="415" t="s">
        <v>329</v>
      </c>
      <c r="X43" s="413" t="s">
        <v>29</v>
      </c>
      <c r="Y43" s="414" t="e" cm="1">
        <f t="array" ref="Y43">C_N1 S_take_off8</f>
        <v>#NAME?</v>
      </c>
      <c r="Z43" s="414" t="e" cm="1">
        <f t="array" ref="Z43">C_N1 S_maxi_continu8</f>
        <v>#NAME?</v>
      </c>
      <c r="AA43" s="748" t="s">
        <v>329</v>
      </c>
      <c r="AB43" s="749"/>
      <c r="AC43" s="399"/>
      <c r="AF43" s="407"/>
      <c r="AG43" s="437"/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399"/>
    </row>
    <row r="44" spans="2:44" s="60" customFormat="1" ht="15" x14ac:dyDescent="0.2">
      <c r="B44" s="407"/>
      <c r="C44" s="416" t="s">
        <v>33</v>
      </c>
      <c r="D44" s="711" cm="1">
        <f t="array" ref="D44">C_N2 S_take_off3</f>
        <v>0</v>
      </c>
      <c r="E44" s="711"/>
      <c r="F44" s="417" cm="1">
        <f t="array" ref="F44">C_N2 S_maxi_continu3</f>
        <v>0</v>
      </c>
      <c r="G44" s="418" t="s">
        <v>329</v>
      </c>
      <c r="I44" s="416" t="s">
        <v>33</v>
      </c>
      <c r="J44" s="417" cm="1">
        <f t="array" ref="J44">C_N2 S_take_off4</f>
        <v>0</v>
      </c>
      <c r="K44" s="417" cm="1">
        <f t="array" ref="K44">C_N2 S_maxi_continu4</f>
        <v>0</v>
      </c>
      <c r="L44" s="752" t="s">
        <v>329</v>
      </c>
      <c r="M44" s="753"/>
      <c r="N44" s="399"/>
      <c r="Q44" s="407"/>
      <c r="R44" s="416" t="s">
        <v>33</v>
      </c>
      <c r="S44" s="711" t="e" cm="1">
        <f t="array" ref="S44">C_N2 S_take_off7</f>
        <v>#NAME?</v>
      </c>
      <c r="T44" s="711"/>
      <c r="U44" s="417" t="e" cm="1">
        <f t="array" ref="U44">C_N2 S_maxi_continu7</f>
        <v>#NAME?</v>
      </c>
      <c r="V44" s="418" t="s">
        <v>329</v>
      </c>
      <c r="X44" s="416" t="s">
        <v>33</v>
      </c>
      <c r="Y44" s="417" t="e" cm="1">
        <f t="array" ref="Y44">C_N2 S_take_off8</f>
        <v>#NAME?</v>
      </c>
      <c r="Z44" s="417" t="e" cm="1">
        <f t="array" ref="Z44">C_N2 S_maxi_continu8</f>
        <v>#NAME?</v>
      </c>
      <c r="AA44" s="752" t="s">
        <v>329</v>
      </c>
      <c r="AB44" s="753"/>
      <c r="AC44" s="399"/>
      <c r="AF44" s="407"/>
      <c r="AG44" s="437"/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399"/>
    </row>
    <row r="45" spans="2:44" s="60" customFormat="1" ht="15" x14ac:dyDescent="0.2">
      <c r="B45" s="407"/>
      <c r="C45" s="416" t="s">
        <v>245</v>
      </c>
      <c r="D45" s="710" cm="1">
        <f t="array" ref="D45">C_T495_SEL_A S_take_off3</f>
        <v>0</v>
      </c>
      <c r="E45" s="710"/>
      <c r="F45" s="419" cm="1">
        <f t="array" ref="F45">C_T495_SEL_A S_maxi_continu3</f>
        <v>0</v>
      </c>
      <c r="G45" s="418" t="s">
        <v>331</v>
      </c>
      <c r="I45" s="416" t="s">
        <v>245</v>
      </c>
      <c r="J45" s="419" cm="1">
        <f t="array" ref="J45">C_T495_SEL_A S_take_off4</f>
        <v>0</v>
      </c>
      <c r="K45" s="419" cm="1">
        <f t="array" ref="K45">C_T495_SEL_A S_maxi_continu4</f>
        <v>0</v>
      </c>
      <c r="L45" s="752" t="s">
        <v>331</v>
      </c>
      <c r="M45" s="753"/>
      <c r="N45" s="399"/>
      <c r="Q45" s="407"/>
      <c r="R45" s="416" t="s">
        <v>245</v>
      </c>
      <c r="S45" s="710" t="e" cm="1">
        <f t="array" ref="S45">C_T495_SEL_A S_take_off7</f>
        <v>#NAME?</v>
      </c>
      <c r="T45" s="710"/>
      <c r="U45" s="419" t="e" cm="1">
        <f t="array" ref="U45">C_T495_SEL_A S_maxi_continu7</f>
        <v>#NAME?</v>
      </c>
      <c r="V45" s="418" t="s">
        <v>331</v>
      </c>
      <c r="X45" s="416" t="s">
        <v>245</v>
      </c>
      <c r="Y45" s="419" t="e" cm="1">
        <f t="array" ref="Y45">C_T495_SEL_A S_take_off8</f>
        <v>#NAME?</v>
      </c>
      <c r="Z45" s="419" t="e" cm="1">
        <f t="array" ref="Z45">C_T495_SEL_A S_maxi_continu8</f>
        <v>#NAME?</v>
      </c>
      <c r="AA45" s="752" t="s">
        <v>331</v>
      </c>
      <c r="AB45" s="753"/>
      <c r="AC45" s="399"/>
      <c r="AF45" s="407"/>
      <c r="AG45" s="437"/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399"/>
    </row>
    <row r="46" spans="2:44" s="60" customFormat="1" ht="15" x14ac:dyDescent="0.2">
      <c r="B46" s="407"/>
      <c r="C46" s="420" t="s">
        <v>509</v>
      </c>
      <c r="D46" s="711" cm="1">
        <f t="array" ref="D46">C_FNnet S_take_off3</f>
        <v>0</v>
      </c>
      <c r="E46" s="711"/>
      <c r="F46" s="417" cm="1">
        <f t="array" ref="F46">C_FNnet S_maxi_continu3</f>
        <v>0</v>
      </c>
      <c r="G46" s="418" t="s">
        <v>510</v>
      </c>
      <c r="I46" s="420" t="s">
        <v>509</v>
      </c>
      <c r="J46" s="417" cm="1">
        <f t="array" ref="J46">C_FNnet S_take_off4</f>
        <v>0</v>
      </c>
      <c r="K46" s="417" cm="1">
        <f t="array" ref="K46">C_FNnet S_maxi_continu4</f>
        <v>0</v>
      </c>
      <c r="L46" s="752" t="s">
        <v>510</v>
      </c>
      <c r="M46" s="753"/>
      <c r="N46" s="399"/>
      <c r="Q46" s="407"/>
      <c r="R46" s="420" t="s">
        <v>509</v>
      </c>
      <c r="S46" s="711" t="e" cm="1">
        <f t="array" ref="S46">C_FNnet S_take_off7</f>
        <v>#NAME?</v>
      </c>
      <c r="T46" s="711"/>
      <c r="U46" s="417" t="e" cm="1">
        <f t="array" ref="U46">C_FNnet S_maxi_continu7</f>
        <v>#NAME?</v>
      </c>
      <c r="V46" s="418" t="s">
        <v>510</v>
      </c>
      <c r="X46" s="420" t="s">
        <v>509</v>
      </c>
      <c r="Y46" s="417" t="e" cm="1">
        <f t="array" ref="Y46">C_FNnet S_take_off8</f>
        <v>#NAME?</v>
      </c>
      <c r="Z46" s="417" t="e" cm="1">
        <f t="array" ref="Z46">C_FNnet S_maxi_continu8</f>
        <v>#NAME?</v>
      </c>
      <c r="AA46" s="752" t="s">
        <v>510</v>
      </c>
      <c r="AB46" s="753"/>
      <c r="AC46" s="399"/>
      <c r="AF46" s="407"/>
      <c r="AG46" s="437"/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399"/>
    </row>
    <row r="47" spans="2:44" s="60" customFormat="1" ht="15" x14ac:dyDescent="0.2">
      <c r="B47" s="407"/>
      <c r="C47" s="420" t="s">
        <v>75</v>
      </c>
      <c r="D47" s="711" cm="1">
        <f t="array" ref="D47">C_WF1 S_take_off3</f>
        <v>0</v>
      </c>
      <c r="E47" s="711"/>
      <c r="F47" s="417" cm="1">
        <f t="array" ref="F47">C_WF1 S_maxi_continu3</f>
        <v>0</v>
      </c>
      <c r="G47" s="421" t="s">
        <v>356</v>
      </c>
      <c r="I47" s="420" t="s">
        <v>75</v>
      </c>
      <c r="J47" s="417" cm="1">
        <f t="array" ref="J47">C_WF1 S_take_off4</f>
        <v>0</v>
      </c>
      <c r="K47" s="417" cm="1">
        <f t="array" ref="K47">C_WF1 S_maxi_continu4</f>
        <v>0</v>
      </c>
      <c r="L47" s="750" t="s">
        <v>356</v>
      </c>
      <c r="M47" s="751"/>
      <c r="N47" s="399"/>
      <c r="Q47" s="407"/>
      <c r="R47" s="420" t="s">
        <v>75</v>
      </c>
      <c r="S47" s="711" t="e" cm="1">
        <f t="array" ref="S47">C_WF1 S_take_off7</f>
        <v>#NAME?</v>
      </c>
      <c r="T47" s="711"/>
      <c r="U47" s="417" t="e" cm="1">
        <f t="array" ref="U47">C_WF1 S_maxi_continu7</f>
        <v>#NAME?</v>
      </c>
      <c r="V47" s="421" t="s">
        <v>356</v>
      </c>
      <c r="X47" s="420" t="s">
        <v>75</v>
      </c>
      <c r="Y47" s="417" t="e" cm="1">
        <f t="array" ref="Y47">C_WF1 S_take_off8</f>
        <v>#NAME?</v>
      </c>
      <c r="Z47" s="417" t="e" cm="1">
        <f t="array" ref="Z47">C_WF1 S_maxi_continu8</f>
        <v>#NAME?</v>
      </c>
      <c r="AA47" s="750" t="s">
        <v>356</v>
      </c>
      <c r="AB47" s="751"/>
      <c r="AC47" s="399"/>
      <c r="AF47" s="407"/>
      <c r="AG47" s="437"/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399"/>
    </row>
    <row r="48" spans="2:44" s="60" customFormat="1" ht="15" x14ac:dyDescent="0.2">
      <c r="B48" s="407"/>
      <c r="C48" s="420" t="s">
        <v>511</v>
      </c>
      <c r="D48" s="710" cm="1">
        <f t="array" ref="D48">C_T_Cell S_take_off3</f>
        <v>0</v>
      </c>
      <c r="E48" s="710"/>
      <c r="F48" s="419" cm="1">
        <f t="array" ref="F48">C_T_Cell S_maxi_continu3</f>
        <v>0</v>
      </c>
      <c r="G48" s="418" t="s">
        <v>331</v>
      </c>
      <c r="I48" s="420" t="s">
        <v>511</v>
      </c>
      <c r="J48" s="419" cm="1">
        <f t="array" ref="J48">C_T_Cell S_take_off4</f>
        <v>0</v>
      </c>
      <c r="K48" s="419" cm="1">
        <f t="array" ref="K48">C_T_Cell S_maxi_continu4</f>
        <v>0</v>
      </c>
      <c r="L48" s="752" t="s">
        <v>331</v>
      </c>
      <c r="M48" s="753"/>
      <c r="N48" s="399"/>
      <c r="Q48" s="407"/>
      <c r="R48" s="420" t="s">
        <v>511</v>
      </c>
      <c r="S48" s="710" t="e" cm="1">
        <f t="array" ref="S48">C_T_Cell S_take_off7</f>
        <v>#NAME?</v>
      </c>
      <c r="T48" s="710"/>
      <c r="U48" s="419" t="e" cm="1">
        <f t="array" ref="U48">C_T_Cell S_maxi_continu7</f>
        <v>#NAME?</v>
      </c>
      <c r="V48" s="418" t="s">
        <v>331</v>
      </c>
      <c r="X48" s="420" t="s">
        <v>511</v>
      </c>
      <c r="Y48" s="419" t="e" cm="1">
        <f t="array" ref="Y48">C_T_Cell S_take_off8</f>
        <v>#NAME?</v>
      </c>
      <c r="Z48" s="419" t="e" cm="1">
        <f t="array" ref="Z48">C_T_Cell S_maxi_continu8</f>
        <v>#NAME?</v>
      </c>
      <c r="AA48" s="752" t="s">
        <v>331</v>
      </c>
      <c r="AB48" s="753"/>
      <c r="AC48" s="399"/>
      <c r="AF48" s="407"/>
      <c r="AG48" s="437"/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399"/>
    </row>
    <row r="49" spans="2:44" s="60" customFormat="1" ht="15" x14ac:dyDescent="0.2">
      <c r="B49" s="407"/>
      <c r="C49" s="420" t="s">
        <v>62</v>
      </c>
      <c r="D49" s="710" cm="1">
        <f t="array" ref="D49">C_RHUM S_take_off3</f>
        <v>0</v>
      </c>
      <c r="E49" s="710"/>
      <c r="F49" s="419" cm="1">
        <f t="array" ref="F49">C_RHUM S_maxi_continu3</f>
        <v>0</v>
      </c>
      <c r="G49" s="421" t="s">
        <v>3</v>
      </c>
      <c r="I49" s="420" t="s">
        <v>62</v>
      </c>
      <c r="J49" s="419" cm="1">
        <f t="array" ref="J49">C_RHUM S_take_off4</f>
        <v>0</v>
      </c>
      <c r="K49" s="419" cm="1">
        <f t="array" ref="K49">C_RHUM S_maxi_continu4</f>
        <v>0</v>
      </c>
      <c r="L49" s="750" t="s">
        <v>3</v>
      </c>
      <c r="M49" s="751"/>
      <c r="N49" s="399"/>
      <c r="Q49" s="407"/>
      <c r="R49" s="420" t="s">
        <v>62</v>
      </c>
      <c r="S49" s="710" t="e" cm="1">
        <f t="array" ref="S49">C_RHUM S_take_off7</f>
        <v>#NAME?</v>
      </c>
      <c r="T49" s="710"/>
      <c r="U49" s="419" t="e" cm="1">
        <f t="array" ref="U49">C_RHUM S_maxi_continu7</f>
        <v>#NAME?</v>
      </c>
      <c r="V49" s="421" t="s">
        <v>3</v>
      </c>
      <c r="X49" s="420" t="s">
        <v>62</v>
      </c>
      <c r="Y49" s="419" t="e" cm="1">
        <f t="array" ref="Y49">C_RHUM S_take_off8</f>
        <v>#NAME?</v>
      </c>
      <c r="Z49" s="419" t="e" cm="1">
        <f t="array" ref="Z49">C_RHUM S_maxi_continu8</f>
        <v>#NAME?</v>
      </c>
      <c r="AA49" s="750" t="s">
        <v>3</v>
      </c>
      <c r="AB49" s="751"/>
      <c r="AC49" s="399"/>
      <c r="AF49" s="407"/>
      <c r="AG49" s="437"/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399"/>
    </row>
    <row r="50" spans="2:44" s="60" customFormat="1" ht="15" x14ac:dyDescent="0.2">
      <c r="B50" s="407"/>
      <c r="C50" s="420" t="s">
        <v>21</v>
      </c>
      <c r="D50" s="710" t="e" cm="1">
        <f t="array" ref="D50">C_HUM S_take_off3</f>
        <v>#REF!</v>
      </c>
      <c r="E50" s="710"/>
      <c r="F50" s="419" t="e" cm="1">
        <f t="array" ref="F50">C_HUM S_maxi_continu3</f>
        <v>#REF!</v>
      </c>
      <c r="G50" s="421" t="s">
        <v>366</v>
      </c>
      <c r="I50" s="420" t="s">
        <v>21</v>
      </c>
      <c r="J50" s="419" t="e" cm="1">
        <f t="array" ref="J50">C_HUM S_take_off4</f>
        <v>#REF!</v>
      </c>
      <c r="K50" s="419" t="e" cm="1">
        <f t="array" ref="K50">C_HUM S_maxi_continu4</f>
        <v>#REF!</v>
      </c>
      <c r="L50" s="750" t="s">
        <v>366</v>
      </c>
      <c r="M50" s="751"/>
      <c r="N50" s="399"/>
      <c r="Q50" s="407"/>
      <c r="R50" s="420" t="s">
        <v>21</v>
      </c>
      <c r="S50" s="710" t="e" cm="1">
        <f t="array" ref="S50">C_HUM S_take_off7</f>
        <v>#REF!</v>
      </c>
      <c r="T50" s="710"/>
      <c r="U50" s="419" t="e" cm="1">
        <f t="array" ref="U50">C_HUM S_maxi_continu7</f>
        <v>#REF!</v>
      </c>
      <c r="V50" s="421" t="s">
        <v>366</v>
      </c>
      <c r="X50" s="420" t="s">
        <v>21</v>
      </c>
      <c r="Y50" s="419" t="e" cm="1">
        <f t="array" ref="Y50">C_HUM S_take_off8</f>
        <v>#REF!</v>
      </c>
      <c r="Z50" s="419" t="e" cm="1">
        <f t="array" ref="Z50">C_HUM S_maxi_continu8</f>
        <v>#REF!</v>
      </c>
      <c r="AA50" s="750" t="s">
        <v>366</v>
      </c>
      <c r="AB50" s="751"/>
      <c r="AC50" s="399"/>
      <c r="AF50" s="40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399"/>
    </row>
    <row r="51" spans="2:44" s="60" customFormat="1" ht="15" x14ac:dyDescent="0.2">
      <c r="B51" s="407"/>
      <c r="C51" s="420" t="s">
        <v>46</v>
      </c>
      <c r="D51" s="708" cm="1">
        <f t="array" ref="D51">C_PAMB1 S_take_off3</f>
        <v>0</v>
      </c>
      <c r="E51" s="708"/>
      <c r="F51" s="422" cm="1">
        <f t="array" ref="F51">C_PAMB1 S_maxi_continu3</f>
        <v>0</v>
      </c>
      <c r="G51" s="421" t="s">
        <v>367</v>
      </c>
      <c r="I51" s="420" t="s">
        <v>46</v>
      </c>
      <c r="J51" s="422" cm="1">
        <f t="array" ref="J51">C_PAMB1 S_take_off4</f>
        <v>0</v>
      </c>
      <c r="K51" s="422" cm="1">
        <f t="array" ref="K51">C_PAMB1 S_maxi_continu4</f>
        <v>0</v>
      </c>
      <c r="L51" s="750" t="s">
        <v>367</v>
      </c>
      <c r="M51" s="751"/>
      <c r="N51" s="399"/>
      <c r="Q51" s="407"/>
      <c r="R51" s="420" t="s">
        <v>46</v>
      </c>
      <c r="S51" s="708" t="e" cm="1">
        <f t="array" ref="S51">C_PAMB1 S_take_off7</f>
        <v>#NAME?</v>
      </c>
      <c r="T51" s="708"/>
      <c r="U51" s="422" t="e" cm="1">
        <f t="array" ref="U51">C_PAMB1 S_maxi_continu7</f>
        <v>#NAME?</v>
      </c>
      <c r="V51" s="421" t="s">
        <v>367</v>
      </c>
      <c r="X51" s="420" t="s">
        <v>46</v>
      </c>
      <c r="Y51" s="422" t="e" cm="1">
        <f t="array" ref="Y51">C_PAMB1 S_take_off8</f>
        <v>#NAME?</v>
      </c>
      <c r="Z51" s="422" t="e" cm="1">
        <f t="array" ref="Z51">C_PAMB1 S_maxi_continu8</f>
        <v>#NAME?</v>
      </c>
      <c r="AA51" s="750" t="s">
        <v>367</v>
      </c>
      <c r="AB51" s="751"/>
      <c r="AC51" s="399"/>
      <c r="AF51" s="40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399"/>
    </row>
    <row r="52" spans="2:44" s="60" customFormat="1" ht="15" x14ac:dyDescent="0.2">
      <c r="B52" s="407"/>
      <c r="C52" s="420" t="s">
        <v>514</v>
      </c>
      <c r="D52" s="708" cm="1">
        <f t="array" ref="D52">C_PT2_ECU_A S_take_off3</f>
        <v>0</v>
      </c>
      <c r="E52" s="708"/>
      <c r="F52" s="422" cm="1">
        <f t="array" ref="F52">C_PT2_ECU_A S_maxi_continu3</f>
        <v>0</v>
      </c>
      <c r="G52" s="421" t="s">
        <v>367</v>
      </c>
      <c r="I52" s="420" t="s">
        <v>514</v>
      </c>
      <c r="J52" s="422" cm="1">
        <f t="array" ref="J52">C_PT2_ECU_A S_take_off4</f>
        <v>0</v>
      </c>
      <c r="K52" s="422" cm="1">
        <f t="array" ref="K52">C_PT2_ECU_A S_maxi_continu4</f>
        <v>0</v>
      </c>
      <c r="L52" s="750" t="s">
        <v>367</v>
      </c>
      <c r="M52" s="751"/>
      <c r="N52" s="399"/>
      <c r="Q52" s="407"/>
      <c r="R52" s="420" t="s">
        <v>514</v>
      </c>
      <c r="S52" s="708" t="e" cm="1">
        <f t="array" ref="S52">C_PT2_ECU_A S_take_off7</f>
        <v>#NAME?</v>
      </c>
      <c r="T52" s="708"/>
      <c r="U52" s="422" t="e" cm="1">
        <f t="array" ref="U52">C_PT2_ECU_A S_maxi_continu7</f>
        <v>#NAME?</v>
      </c>
      <c r="V52" s="421" t="s">
        <v>367</v>
      </c>
      <c r="X52" s="420" t="s">
        <v>514</v>
      </c>
      <c r="Y52" s="422" t="e" cm="1">
        <f t="array" ref="Y52">C_PT2_ECU_A S_take_off8</f>
        <v>#NAME?</v>
      </c>
      <c r="Z52" s="422" t="e" cm="1">
        <f t="array" ref="Z52">C_PT2_ECU_A S_maxi_continu8</f>
        <v>#NAME?</v>
      </c>
      <c r="AA52" s="750" t="s">
        <v>367</v>
      </c>
      <c r="AB52" s="751"/>
      <c r="AC52" s="399"/>
      <c r="AF52" s="407"/>
      <c r="AG52" s="437"/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399"/>
    </row>
    <row r="53" spans="2:44" s="60" customFormat="1" ht="15" x14ac:dyDescent="0.2">
      <c r="B53" s="407"/>
      <c r="C53" s="420" t="s">
        <v>50</v>
      </c>
      <c r="D53" s="708" cm="1">
        <f t="array" ref="D53">C_PS2W S_take_off3</f>
        <v>0</v>
      </c>
      <c r="E53" s="708"/>
      <c r="F53" s="422" cm="1">
        <f t="array" ref="F53">C_PS2W S_maxi_continu3</f>
        <v>0</v>
      </c>
      <c r="G53" s="421" t="s">
        <v>367</v>
      </c>
      <c r="I53" s="420" t="s">
        <v>50</v>
      </c>
      <c r="J53" s="422" cm="1">
        <f t="array" ref="J53">C_PS2W S_take_off4</f>
        <v>0</v>
      </c>
      <c r="K53" s="422" cm="1">
        <f t="array" ref="K53">C_PS2W S_maxi_continu4</f>
        <v>0</v>
      </c>
      <c r="L53" s="750" t="s">
        <v>367</v>
      </c>
      <c r="M53" s="751"/>
      <c r="N53" s="399"/>
      <c r="Q53" s="407"/>
      <c r="R53" s="420" t="s">
        <v>50</v>
      </c>
      <c r="S53" s="708" t="e" cm="1">
        <f t="array" ref="S53">C_PS2W S_take_off7</f>
        <v>#NAME?</v>
      </c>
      <c r="T53" s="708"/>
      <c r="U53" s="422" t="e" cm="1">
        <f t="array" ref="U53">C_PS2W S_maxi_continu7</f>
        <v>#NAME?</v>
      </c>
      <c r="V53" s="421" t="s">
        <v>367</v>
      </c>
      <c r="X53" s="420" t="s">
        <v>50</v>
      </c>
      <c r="Y53" s="422" t="e" cm="1">
        <f t="array" ref="Y53">C_PS2W S_take_off8</f>
        <v>#NAME?</v>
      </c>
      <c r="Z53" s="422" t="e" cm="1">
        <f t="array" ref="Z53">C_PS2W S_maxi_continu8</f>
        <v>#NAME?</v>
      </c>
      <c r="AA53" s="750" t="s">
        <v>367</v>
      </c>
      <c r="AB53" s="751"/>
      <c r="AC53" s="399"/>
      <c r="AF53" s="407"/>
      <c r="AG53" s="437"/>
      <c r="AH53" s="437"/>
      <c r="AI53" s="437"/>
      <c r="AJ53" s="437"/>
      <c r="AK53" s="437"/>
      <c r="AL53" s="437"/>
      <c r="AM53" s="437"/>
      <c r="AN53" s="437"/>
      <c r="AO53" s="437"/>
      <c r="AP53" s="437"/>
      <c r="AQ53" s="437"/>
      <c r="AR53" s="399"/>
    </row>
    <row r="54" spans="2:44" s="60" customFormat="1" ht="15" x14ac:dyDescent="0.2">
      <c r="B54" s="407"/>
      <c r="C54" s="420" t="s">
        <v>23</v>
      </c>
      <c r="D54" s="711" cm="1">
        <f t="array" ref="D54">C_LHV S_take_off3</f>
        <v>0</v>
      </c>
      <c r="E54" s="711"/>
      <c r="F54" s="417" cm="1">
        <f t="array" ref="F54">C_LHV S_maxi_continu3</f>
        <v>0</v>
      </c>
      <c r="G54" s="421" t="s">
        <v>365</v>
      </c>
      <c r="I54" s="420" t="s">
        <v>23</v>
      </c>
      <c r="J54" s="417" cm="1">
        <f t="array" ref="J54">C_LHV S_take_off4</f>
        <v>0</v>
      </c>
      <c r="K54" s="417" cm="1">
        <f t="array" ref="K54">C_LHV S_maxi_continu4</f>
        <v>0</v>
      </c>
      <c r="L54" s="750" t="s">
        <v>365</v>
      </c>
      <c r="M54" s="751"/>
      <c r="N54" s="399"/>
      <c r="Q54" s="407"/>
      <c r="R54" s="420" t="s">
        <v>23</v>
      </c>
      <c r="S54" s="711" t="e" cm="1">
        <f t="array" ref="S54">C_LHV S_take_off7</f>
        <v>#NAME?</v>
      </c>
      <c r="T54" s="711"/>
      <c r="U54" s="417" t="e" cm="1">
        <f t="array" ref="U54">C_LHV S_maxi_continu7</f>
        <v>#NAME?</v>
      </c>
      <c r="V54" s="421" t="s">
        <v>365</v>
      </c>
      <c r="X54" s="420" t="s">
        <v>23</v>
      </c>
      <c r="Y54" s="417" t="e" cm="1">
        <f t="array" ref="Y54">C_LHV S_take_off8</f>
        <v>#NAME?</v>
      </c>
      <c r="Z54" s="417" t="e" cm="1">
        <f t="array" ref="Z54">C_LHV S_maxi_continu8</f>
        <v>#NAME?</v>
      </c>
      <c r="AA54" s="750" t="s">
        <v>365</v>
      </c>
      <c r="AB54" s="751"/>
      <c r="AC54" s="399"/>
      <c r="AF54" s="407"/>
      <c r="AG54" s="437"/>
      <c r="AH54" s="437"/>
      <c r="AI54" s="437"/>
      <c r="AJ54" s="437"/>
      <c r="AK54" s="437"/>
      <c r="AL54" s="437"/>
      <c r="AM54" s="437"/>
      <c r="AN54" s="437"/>
      <c r="AO54" s="437"/>
      <c r="AP54" s="437"/>
      <c r="AQ54" s="437"/>
      <c r="AR54" s="399"/>
    </row>
    <row r="55" spans="2:44" s="60" customFormat="1" ht="15" x14ac:dyDescent="0.2">
      <c r="B55" s="407"/>
      <c r="C55" s="420" t="s">
        <v>60</v>
      </c>
      <c r="D55" s="708" cm="1">
        <f t="array" ref="D55">C_PT495 S_take_off3</f>
        <v>0</v>
      </c>
      <c r="E55" s="708"/>
      <c r="F55" s="422" cm="1">
        <f t="array" ref="F55">C_PT495 S_maxi_continu3</f>
        <v>0</v>
      </c>
      <c r="G55" s="421" t="s">
        <v>367</v>
      </c>
      <c r="I55" s="420" t="s">
        <v>60</v>
      </c>
      <c r="J55" s="422" cm="1">
        <f t="array" ref="J55">C_PT495 S_take_off4</f>
        <v>0</v>
      </c>
      <c r="K55" s="422" cm="1">
        <f t="array" ref="K55">C_PT495 S_maxi_continu4</f>
        <v>0</v>
      </c>
      <c r="L55" s="750" t="s">
        <v>367</v>
      </c>
      <c r="M55" s="751"/>
      <c r="N55" s="399"/>
      <c r="Q55" s="407"/>
      <c r="R55" s="420" t="s">
        <v>60</v>
      </c>
      <c r="S55" s="708" t="e" cm="1">
        <f t="array" ref="S55">C_PT495 S_take_off7</f>
        <v>#NAME?</v>
      </c>
      <c r="T55" s="708"/>
      <c r="U55" s="422" t="e" cm="1">
        <f t="array" ref="U55">C_PT495 S_maxi_continu7</f>
        <v>#NAME?</v>
      </c>
      <c r="V55" s="421" t="s">
        <v>367</v>
      </c>
      <c r="X55" s="420" t="s">
        <v>60</v>
      </c>
      <c r="Y55" s="422" t="e" cm="1">
        <f t="array" ref="Y55">C_PT495 S_take_off8</f>
        <v>#NAME?</v>
      </c>
      <c r="Z55" s="422" t="e" cm="1">
        <f t="array" ref="Z55">C_PT495 S_maxi_continu8</f>
        <v>#NAME?</v>
      </c>
      <c r="AA55" s="750" t="s">
        <v>367</v>
      </c>
      <c r="AB55" s="751"/>
      <c r="AC55" s="399"/>
      <c r="AF55" s="407"/>
      <c r="AG55" s="437"/>
      <c r="AH55" s="437"/>
      <c r="AI55" s="437"/>
      <c r="AJ55" s="437"/>
      <c r="AK55" s="437"/>
      <c r="AL55" s="437"/>
      <c r="AM55" s="437"/>
      <c r="AN55" s="437"/>
      <c r="AO55" s="437"/>
      <c r="AP55" s="437"/>
      <c r="AQ55" s="437"/>
      <c r="AR55" s="399"/>
    </row>
    <row r="56" spans="2:44" s="60" customFormat="1" ht="15.75" thickBot="1" x14ac:dyDescent="0.25">
      <c r="B56" s="407"/>
      <c r="C56" s="423" t="s">
        <v>22</v>
      </c>
      <c r="D56" s="709" cm="1">
        <f t="array" ref="D56">C_KSHUNT S_take_off3</f>
        <v>0</v>
      </c>
      <c r="E56" s="709"/>
      <c r="F56" s="424" cm="1">
        <f t="array" ref="F56">C_KSHUNT S_maxi_continu3</f>
        <v>0</v>
      </c>
      <c r="G56" s="436" t="s">
        <v>0</v>
      </c>
      <c r="I56" s="423" t="s">
        <v>22</v>
      </c>
      <c r="J56" s="424" cm="1">
        <f t="array" ref="J56">C_KSHUNT S_take_off4</f>
        <v>0</v>
      </c>
      <c r="K56" s="424" cm="1">
        <f t="array" ref="K56">C_KSHUNT S_maxi_continu4</f>
        <v>0</v>
      </c>
      <c r="L56" s="754" t="s">
        <v>0</v>
      </c>
      <c r="M56" s="755"/>
      <c r="N56" s="399"/>
      <c r="Q56" s="407"/>
      <c r="R56" s="423" t="s">
        <v>22</v>
      </c>
      <c r="S56" s="709" t="e" cm="1">
        <f t="array" ref="S56">C_KSHUNT S_take_off7</f>
        <v>#NAME?</v>
      </c>
      <c r="T56" s="709"/>
      <c r="U56" s="424" t="e" cm="1">
        <f t="array" ref="U56">C_KSHUNT S_maxi_continu7</f>
        <v>#NAME?</v>
      </c>
      <c r="V56" s="436" t="s">
        <v>0</v>
      </c>
      <c r="X56" s="423" t="s">
        <v>22</v>
      </c>
      <c r="Y56" s="424" t="e" cm="1">
        <f t="array" ref="Y56">C_KSHUNT S_take_off8</f>
        <v>#NAME?</v>
      </c>
      <c r="Z56" s="424" t="e" cm="1">
        <f t="array" ref="Z56">C_KSHUNT S_maxi_continu8</f>
        <v>#NAME?</v>
      </c>
      <c r="AA56" s="754" t="s">
        <v>0</v>
      </c>
      <c r="AB56" s="755"/>
      <c r="AC56" s="399"/>
      <c r="AF56" s="407"/>
      <c r="AG56" s="437"/>
      <c r="AH56" s="437"/>
      <c r="AI56" s="437"/>
      <c r="AJ56" s="437"/>
      <c r="AK56" s="437"/>
      <c r="AL56" s="437"/>
      <c r="AM56" s="437"/>
      <c r="AN56" s="437"/>
      <c r="AO56" s="437"/>
      <c r="AP56" s="437"/>
      <c r="AQ56" s="437"/>
      <c r="AR56" s="399"/>
    </row>
    <row r="57" spans="2:44" s="60" customFormat="1" ht="15" x14ac:dyDescent="0.2">
      <c r="B57" s="407"/>
      <c r="C57" s="46"/>
      <c r="D57" s="425"/>
      <c r="E57" s="425"/>
      <c r="F57" s="425"/>
      <c r="G57" s="426"/>
      <c r="I57" s="425"/>
      <c r="J57" s="425"/>
      <c r="K57" s="426"/>
      <c r="L57" s="426"/>
      <c r="N57" s="399"/>
      <c r="Q57" s="407"/>
      <c r="R57" s="46"/>
      <c r="S57" s="425"/>
      <c r="T57" s="425"/>
      <c r="U57" s="425"/>
      <c r="V57" s="426"/>
      <c r="X57" s="425"/>
      <c r="Y57" s="425"/>
      <c r="Z57" s="426"/>
      <c r="AA57" s="426"/>
      <c r="AC57" s="399"/>
      <c r="AF57" s="407"/>
      <c r="AG57" s="437"/>
      <c r="AH57" s="437"/>
      <c r="AI57" s="437"/>
      <c r="AJ57" s="437"/>
      <c r="AK57" s="437"/>
      <c r="AL57" s="437"/>
      <c r="AM57" s="425"/>
      <c r="AN57" s="425"/>
      <c r="AO57" s="426"/>
      <c r="AP57" s="426"/>
      <c r="AR57" s="399"/>
    </row>
    <row r="58" spans="2:44" s="60" customFormat="1" ht="13.5" thickBot="1" x14ac:dyDescent="0.25">
      <c r="B58" s="427"/>
      <c r="C58" s="152"/>
      <c r="D58" s="428"/>
      <c r="E58" s="428"/>
      <c r="F58" s="428"/>
      <c r="G58" s="429"/>
      <c r="H58" s="430"/>
      <c r="I58" s="428"/>
      <c r="J58" s="428"/>
      <c r="K58" s="429"/>
      <c r="L58" s="429"/>
      <c r="M58" s="430"/>
      <c r="N58" s="431"/>
      <c r="Q58" s="427"/>
      <c r="R58" s="152"/>
      <c r="S58" s="428"/>
      <c r="T58" s="428"/>
      <c r="U58" s="428"/>
      <c r="V58" s="429"/>
      <c r="W58" s="430"/>
      <c r="X58" s="428"/>
      <c r="Y58" s="428"/>
      <c r="Z58" s="429"/>
      <c r="AA58" s="429"/>
      <c r="AB58" s="430"/>
      <c r="AC58" s="431"/>
      <c r="AF58" s="427"/>
      <c r="AG58" s="152"/>
      <c r="AH58" s="428"/>
      <c r="AI58" s="428"/>
      <c r="AJ58" s="428"/>
      <c r="AK58" s="429"/>
      <c r="AL58" s="430"/>
      <c r="AM58" s="428"/>
      <c r="AN58" s="428"/>
      <c r="AO58" s="429"/>
      <c r="AP58" s="429"/>
      <c r="AQ58" s="430"/>
      <c r="AR58" s="431"/>
    </row>
    <row r="59" spans="2:44" s="60" customFormat="1" ht="13.5" thickTop="1" x14ac:dyDescent="0.2">
      <c r="C59" s="46"/>
      <c r="D59" s="425"/>
      <c r="E59" s="425"/>
      <c r="F59" s="425"/>
      <c r="G59" s="426"/>
      <c r="I59" s="425"/>
      <c r="J59" s="425"/>
      <c r="K59" s="426"/>
      <c r="L59" s="426"/>
      <c r="R59" s="46"/>
      <c r="S59" s="425"/>
      <c r="T59" s="425"/>
      <c r="U59" s="425"/>
      <c r="V59" s="426"/>
      <c r="X59" s="425"/>
      <c r="Y59" s="425"/>
      <c r="Z59" s="426"/>
      <c r="AA59" s="426"/>
      <c r="AG59" s="46"/>
      <c r="AH59" s="425"/>
      <c r="AI59" s="425"/>
      <c r="AJ59" s="425"/>
      <c r="AK59" s="426"/>
      <c r="AM59" s="425"/>
      <c r="AN59" s="425"/>
      <c r="AO59" s="426"/>
      <c r="AP59" s="426"/>
    </row>
    <row r="60" spans="2:44" s="60" customFormat="1" ht="13.5" thickBot="1" x14ac:dyDescent="0.25">
      <c r="B60" s="430"/>
      <c r="C60" s="152"/>
      <c r="D60" s="428"/>
      <c r="E60" s="428"/>
      <c r="F60" s="428"/>
      <c r="G60" s="429"/>
      <c r="H60" s="430"/>
      <c r="I60" s="428"/>
      <c r="J60" s="428"/>
      <c r="K60" s="429"/>
      <c r="L60" s="429"/>
      <c r="M60" s="430"/>
      <c r="N60" s="430"/>
      <c r="Q60" s="430"/>
      <c r="R60" s="152"/>
      <c r="S60" s="428"/>
      <c r="T60" s="428"/>
      <c r="U60" s="428"/>
      <c r="V60" s="429"/>
      <c r="W60" s="430"/>
      <c r="X60" s="428"/>
      <c r="Y60" s="428"/>
      <c r="Z60" s="429"/>
      <c r="AA60" s="429"/>
      <c r="AB60" s="430"/>
      <c r="AC60" s="430"/>
      <c r="AF60" s="430"/>
      <c r="AG60" s="152"/>
      <c r="AH60" s="428"/>
      <c r="AI60" s="428"/>
      <c r="AJ60" s="428"/>
      <c r="AK60" s="429"/>
      <c r="AL60" s="430"/>
      <c r="AM60" s="428"/>
      <c r="AN60" s="428"/>
      <c r="AO60" s="429"/>
      <c r="AP60" s="429"/>
      <c r="AQ60" s="430"/>
      <c r="AR60" s="430"/>
    </row>
    <row r="61" spans="2:44" s="60" customFormat="1" ht="13.5" thickTop="1" x14ac:dyDescent="0.2">
      <c r="B61" s="407"/>
      <c r="C61" s="46"/>
      <c r="D61" s="425"/>
      <c r="E61" s="425"/>
      <c r="F61" s="425"/>
      <c r="G61" s="426"/>
      <c r="I61" s="425"/>
      <c r="J61" s="425"/>
      <c r="K61" s="426"/>
      <c r="L61" s="426"/>
      <c r="N61" s="399"/>
      <c r="Q61" s="407"/>
      <c r="R61" s="46"/>
      <c r="S61" s="425"/>
      <c r="T61" s="425"/>
      <c r="U61" s="425"/>
      <c r="V61" s="426"/>
      <c r="X61" s="425"/>
      <c r="Y61" s="425"/>
      <c r="Z61" s="426"/>
      <c r="AA61" s="426"/>
      <c r="AC61" s="399"/>
      <c r="AF61" s="407"/>
      <c r="AG61" s="46"/>
      <c r="AH61" s="425"/>
      <c r="AI61" s="425"/>
      <c r="AJ61" s="425"/>
      <c r="AK61" s="426"/>
      <c r="AM61" s="425"/>
      <c r="AN61" s="425"/>
      <c r="AO61" s="426"/>
      <c r="AP61" s="426"/>
      <c r="AR61" s="399"/>
    </row>
    <row r="62" spans="2:44" s="60" customFormat="1" x14ac:dyDescent="0.2">
      <c r="B62" s="407"/>
      <c r="C62" s="46"/>
      <c r="D62" s="425"/>
      <c r="E62" s="425"/>
      <c r="F62" s="425"/>
      <c r="G62" s="426"/>
      <c r="I62" s="425"/>
      <c r="J62" s="425"/>
      <c r="K62" s="426"/>
      <c r="L62" s="426"/>
      <c r="N62" s="399"/>
      <c r="Q62" s="407"/>
      <c r="R62" s="46"/>
      <c r="S62" s="425"/>
      <c r="T62" s="425"/>
      <c r="U62" s="425"/>
      <c r="V62" s="426"/>
      <c r="X62" s="425"/>
      <c r="Y62" s="425"/>
      <c r="Z62" s="426"/>
      <c r="AA62" s="426"/>
      <c r="AC62" s="399"/>
      <c r="AF62" s="407"/>
      <c r="AG62" s="46"/>
      <c r="AH62" s="425"/>
      <c r="AI62" s="425"/>
      <c r="AJ62" s="425"/>
      <c r="AK62" s="426"/>
      <c r="AM62" s="425"/>
      <c r="AN62" s="425"/>
      <c r="AO62" s="426"/>
      <c r="AP62" s="426"/>
      <c r="AR62" s="399"/>
    </row>
    <row r="63" spans="2:44" s="60" customFormat="1" ht="12.95" customHeight="1" x14ac:dyDescent="0.2">
      <c r="B63" s="407"/>
      <c r="C63" s="707" t="s">
        <v>513</v>
      </c>
      <c r="D63" s="707"/>
      <c r="E63" s="707"/>
      <c r="F63" s="707"/>
      <c r="G63" s="707"/>
      <c r="H63" s="707"/>
      <c r="I63" s="707"/>
      <c r="J63" s="707"/>
      <c r="K63" s="707"/>
      <c r="L63" s="707"/>
      <c r="M63" s="707"/>
      <c r="N63" s="399"/>
      <c r="Q63" s="407"/>
      <c r="R63" s="707" t="s">
        <v>513</v>
      </c>
      <c r="S63" s="707"/>
      <c r="T63" s="707"/>
      <c r="U63" s="707"/>
      <c r="V63" s="707"/>
      <c r="W63" s="707"/>
      <c r="X63" s="707"/>
      <c r="Y63" s="707"/>
      <c r="Z63" s="707"/>
      <c r="AA63" s="707"/>
      <c r="AB63" s="707"/>
      <c r="AC63" s="399"/>
      <c r="AF63" s="407"/>
      <c r="AG63" s="707" t="s">
        <v>513</v>
      </c>
      <c r="AH63" s="707"/>
      <c r="AI63" s="707"/>
      <c r="AJ63" s="707"/>
      <c r="AK63" s="707"/>
      <c r="AL63" s="707"/>
      <c r="AM63" s="707"/>
      <c r="AN63" s="707"/>
      <c r="AO63" s="707"/>
      <c r="AP63" s="707"/>
      <c r="AQ63" s="707"/>
      <c r="AR63" s="399"/>
    </row>
    <row r="64" spans="2:44" s="60" customFormat="1" x14ac:dyDescent="0.2">
      <c r="B64" s="407"/>
      <c r="C64" s="707"/>
      <c r="D64" s="707"/>
      <c r="E64" s="707"/>
      <c r="F64" s="707"/>
      <c r="G64" s="707"/>
      <c r="H64" s="707"/>
      <c r="I64" s="707"/>
      <c r="J64" s="707"/>
      <c r="K64" s="707"/>
      <c r="L64" s="707"/>
      <c r="M64" s="707"/>
      <c r="N64" s="399"/>
      <c r="Q64" s="407"/>
      <c r="R64" s="707"/>
      <c r="S64" s="707"/>
      <c r="T64" s="707"/>
      <c r="U64" s="707"/>
      <c r="V64" s="707"/>
      <c r="W64" s="707"/>
      <c r="X64" s="707"/>
      <c r="Y64" s="707"/>
      <c r="Z64" s="707"/>
      <c r="AA64" s="707"/>
      <c r="AB64" s="707"/>
      <c r="AC64" s="399"/>
      <c r="AF64" s="407"/>
      <c r="AG64" s="707"/>
      <c r="AH64" s="707"/>
      <c r="AI64" s="707"/>
      <c r="AJ64" s="707"/>
      <c r="AK64" s="707"/>
      <c r="AL64" s="707"/>
      <c r="AM64" s="707"/>
      <c r="AN64" s="707"/>
      <c r="AO64" s="707"/>
      <c r="AP64" s="707"/>
      <c r="AQ64" s="707"/>
      <c r="AR64" s="399"/>
    </row>
    <row r="65" spans="2:44" s="60" customFormat="1" ht="14.25" x14ac:dyDescent="0.2">
      <c r="B65" s="407"/>
      <c r="C65" s="216"/>
      <c r="D65" s="216"/>
      <c r="E65" s="216"/>
      <c r="F65" s="216"/>
      <c r="G65" s="216"/>
      <c r="H65" s="216"/>
      <c r="I65" s="216"/>
      <c r="J65" s="216"/>
      <c r="K65" s="216"/>
      <c r="L65" s="216"/>
      <c r="M65" s="216"/>
      <c r="N65" s="399"/>
      <c r="Q65" s="407"/>
      <c r="R65" s="216"/>
      <c r="S65" s="216"/>
      <c r="T65" s="216"/>
      <c r="U65" s="216"/>
      <c r="V65" s="216"/>
      <c r="W65" s="216"/>
      <c r="X65" s="216"/>
      <c r="Y65" s="216"/>
      <c r="Z65" s="216"/>
      <c r="AA65" s="216"/>
      <c r="AB65" s="216"/>
      <c r="AC65" s="399"/>
      <c r="AF65" s="407"/>
      <c r="AG65" s="216"/>
      <c r="AH65" s="216"/>
      <c r="AI65" s="216"/>
      <c r="AJ65" s="216"/>
      <c r="AK65" s="216"/>
      <c r="AL65" s="216"/>
      <c r="AM65" s="216"/>
      <c r="AN65" s="216"/>
      <c r="AO65" s="216"/>
      <c r="AP65" s="216"/>
      <c r="AQ65" s="216"/>
      <c r="AR65" s="399"/>
    </row>
    <row r="66" spans="2:44" s="60" customFormat="1" ht="14.25" x14ac:dyDescent="0.2">
      <c r="B66" s="407"/>
      <c r="C66" s="216"/>
      <c r="D66" s="216"/>
      <c r="E66" s="216"/>
      <c r="F66" s="216"/>
      <c r="G66" s="216"/>
      <c r="H66" s="216"/>
      <c r="I66" s="216"/>
      <c r="J66" s="216"/>
      <c r="K66" s="216"/>
      <c r="L66" s="216"/>
      <c r="M66" s="216"/>
      <c r="N66" s="399"/>
      <c r="Q66" s="407"/>
      <c r="R66" s="216"/>
      <c r="S66" s="216"/>
      <c r="T66" s="216"/>
      <c r="U66" s="216"/>
      <c r="V66" s="216"/>
      <c r="W66" s="216"/>
      <c r="X66" s="216"/>
      <c r="Y66" s="216"/>
      <c r="Z66" s="216"/>
      <c r="AA66" s="216"/>
      <c r="AB66" s="216"/>
      <c r="AC66" s="399"/>
      <c r="AF66" s="407"/>
      <c r="AG66" s="216"/>
      <c r="AH66" s="216"/>
      <c r="AI66" s="216"/>
      <c r="AJ66" s="216"/>
      <c r="AK66" s="216"/>
      <c r="AL66" s="216"/>
      <c r="AM66" s="216"/>
      <c r="AN66" s="216"/>
      <c r="AO66" s="216"/>
      <c r="AP66" s="216"/>
      <c r="AQ66" s="216"/>
      <c r="AR66" s="399"/>
    </row>
    <row r="67" spans="2:44" s="60" customFormat="1" ht="15" x14ac:dyDescent="0.2">
      <c r="B67" s="407"/>
      <c r="C67" s="432" t="s">
        <v>512</v>
      </c>
      <c r="D67" s="433"/>
      <c r="E67" s="433"/>
      <c r="F67" s="433"/>
      <c r="G67" s="433"/>
      <c r="H67" s="434" t="s">
        <v>294</v>
      </c>
      <c r="I67" s="433"/>
      <c r="J67" s="434" t="s">
        <v>295</v>
      </c>
      <c r="K67" s="433"/>
      <c r="L67" s="433"/>
      <c r="M67" s="433"/>
      <c r="N67" s="399"/>
      <c r="Q67" s="407"/>
      <c r="R67" s="432" t="s">
        <v>512</v>
      </c>
      <c r="S67" s="433"/>
      <c r="T67" s="433"/>
      <c r="U67" s="433"/>
      <c r="V67" s="433"/>
      <c r="W67" s="434" t="s">
        <v>294</v>
      </c>
      <c r="X67" s="433"/>
      <c r="Y67" s="434" t="s">
        <v>295</v>
      </c>
      <c r="Z67" s="433"/>
      <c r="AA67" s="433"/>
      <c r="AB67" s="433"/>
      <c r="AC67" s="399"/>
      <c r="AF67" s="407"/>
      <c r="AG67" s="432" t="s">
        <v>512</v>
      </c>
      <c r="AH67" s="433"/>
      <c r="AI67" s="433"/>
      <c r="AJ67" s="433"/>
      <c r="AK67" s="433"/>
      <c r="AL67" s="434" t="s">
        <v>294</v>
      </c>
      <c r="AM67" s="433"/>
      <c r="AN67" s="434" t="s">
        <v>295</v>
      </c>
      <c r="AO67" s="433"/>
      <c r="AP67" s="433"/>
      <c r="AQ67" s="433"/>
      <c r="AR67" s="399"/>
    </row>
    <row r="68" spans="2:44" s="60" customFormat="1" ht="15" x14ac:dyDescent="0.2">
      <c r="B68" s="407"/>
      <c r="C68" s="432"/>
      <c r="D68" s="435"/>
      <c r="E68" s="435"/>
      <c r="F68" s="435"/>
      <c r="G68" s="435"/>
      <c r="H68" s="434"/>
      <c r="I68" s="435"/>
      <c r="J68" s="434"/>
      <c r="K68" s="435"/>
      <c r="L68" s="435"/>
      <c r="M68" s="435"/>
      <c r="N68" s="399"/>
      <c r="Q68" s="407"/>
      <c r="R68" s="432"/>
      <c r="S68" s="435"/>
      <c r="T68" s="435"/>
      <c r="U68" s="435"/>
      <c r="V68" s="435"/>
      <c r="W68" s="434"/>
      <c r="X68" s="435"/>
      <c r="Y68" s="434"/>
      <c r="Z68" s="435"/>
      <c r="AA68" s="435"/>
      <c r="AB68" s="435"/>
      <c r="AC68" s="399"/>
      <c r="AF68" s="407"/>
      <c r="AG68" s="432"/>
      <c r="AH68" s="435"/>
      <c r="AI68" s="435"/>
      <c r="AJ68" s="435"/>
      <c r="AK68" s="435"/>
      <c r="AL68" s="434"/>
      <c r="AM68" s="435"/>
      <c r="AN68" s="434"/>
      <c r="AO68" s="435"/>
      <c r="AP68" s="435"/>
      <c r="AQ68" s="435"/>
      <c r="AR68" s="399"/>
    </row>
    <row r="69" spans="2:44" s="60" customFormat="1" ht="13.5" thickBot="1" x14ac:dyDescent="0.25">
      <c r="B69" s="427"/>
      <c r="C69" s="430"/>
      <c r="D69" s="430"/>
      <c r="E69" s="430"/>
      <c r="F69" s="430"/>
      <c r="G69" s="430"/>
      <c r="H69" s="430"/>
      <c r="I69" s="430"/>
      <c r="J69" s="430"/>
      <c r="K69" s="430"/>
      <c r="L69" s="430"/>
      <c r="M69" s="430"/>
      <c r="N69" s="431"/>
      <c r="Q69" s="427"/>
      <c r="R69" s="430"/>
      <c r="S69" s="430"/>
      <c r="T69" s="430"/>
      <c r="U69" s="430"/>
      <c r="V69" s="430"/>
      <c r="W69" s="430"/>
      <c r="X69" s="430"/>
      <c r="Y69" s="430"/>
      <c r="Z69" s="430"/>
      <c r="AA69" s="430"/>
      <c r="AB69" s="430"/>
      <c r="AC69" s="431"/>
      <c r="AF69" s="427"/>
      <c r="AG69" s="430"/>
      <c r="AH69" s="430"/>
      <c r="AI69" s="430"/>
      <c r="AJ69" s="430"/>
      <c r="AK69" s="430"/>
      <c r="AL69" s="430"/>
      <c r="AM69" s="430"/>
      <c r="AN69" s="430"/>
      <c r="AO69" s="430"/>
      <c r="AP69" s="430"/>
      <c r="AQ69" s="430"/>
      <c r="AR69" s="431"/>
    </row>
    <row r="70" spans="2:44" ht="13.5" thickTop="1" x14ac:dyDescent="0.2"/>
  </sheetData>
  <mergeCells count="229">
    <mergeCell ref="S56:T56"/>
    <mergeCell ref="AA56:AB56"/>
    <mergeCell ref="R63:AB64"/>
    <mergeCell ref="S53:T53"/>
    <mergeCell ref="AA53:AB53"/>
    <mergeCell ref="S54:T54"/>
    <mergeCell ref="AA54:AB54"/>
    <mergeCell ref="S55:T55"/>
    <mergeCell ref="AA55:AB55"/>
    <mergeCell ref="S50:T50"/>
    <mergeCell ref="AA50:AB50"/>
    <mergeCell ref="S51:T51"/>
    <mergeCell ref="AA51:AB51"/>
    <mergeCell ref="S52:T52"/>
    <mergeCell ref="AA52:AB52"/>
    <mergeCell ref="S47:T47"/>
    <mergeCell ref="AA47:AB47"/>
    <mergeCell ref="S48:T48"/>
    <mergeCell ref="AA48:AB48"/>
    <mergeCell ref="S49:T49"/>
    <mergeCell ref="AA49:AB49"/>
    <mergeCell ref="S44:T44"/>
    <mergeCell ref="AA44:AB44"/>
    <mergeCell ref="S45:T45"/>
    <mergeCell ref="AA45:AB45"/>
    <mergeCell ref="S46:T46"/>
    <mergeCell ref="AA46:AB46"/>
    <mergeCell ref="S41:V41"/>
    <mergeCell ref="Y41:AB41"/>
    <mergeCell ref="S42:T42"/>
    <mergeCell ref="AA42:AB42"/>
    <mergeCell ref="S43:T43"/>
    <mergeCell ref="AA43:AB43"/>
    <mergeCell ref="S34:T34"/>
    <mergeCell ref="AA34:AB34"/>
    <mergeCell ref="S35:T35"/>
    <mergeCell ref="AA35:AB35"/>
    <mergeCell ref="R40:V40"/>
    <mergeCell ref="X40:AB40"/>
    <mergeCell ref="S31:T31"/>
    <mergeCell ref="AA31:AB31"/>
    <mergeCell ref="S32:T32"/>
    <mergeCell ref="AA32:AB32"/>
    <mergeCell ref="S33:T33"/>
    <mergeCell ref="AA33:AB33"/>
    <mergeCell ref="S28:T28"/>
    <mergeCell ref="AA28:AB28"/>
    <mergeCell ref="S29:T29"/>
    <mergeCell ref="AA29:AB29"/>
    <mergeCell ref="S30:T30"/>
    <mergeCell ref="AA30:AB30"/>
    <mergeCell ref="S25:T25"/>
    <mergeCell ref="AA25:AB25"/>
    <mergeCell ref="S26:T26"/>
    <mergeCell ref="AA26:AB26"/>
    <mergeCell ref="S27:T27"/>
    <mergeCell ref="AA27:AB27"/>
    <mergeCell ref="S22:T22"/>
    <mergeCell ref="AA22:AB22"/>
    <mergeCell ref="S23:T23"/>
    <mergeCell ref="AA23:AB23"/>
    <mergeCell ref="S24:T24"/>
    <mergeCell ref="AA24:AB24"/>
    <mergeCell ref="AB14:AC14"/>
    <mergeCell ref="R19:V19"/>
    <mergeCell ref="X19:AB19"/>
    <mergeCell ref="S20:V20"/>
    <mergeCell ref="Y20:AB20"/>
    <mergeCell ref="S21:T21"/>
    <mergeCell ref="AA21:AB21"/>
    <mergeCell ref="Q14:S14"/>
    <mergeCell ref="U14:V14"/>
    <mergeCell ref="X14:Z14"/>
    <mergeCell ref="Q12:S12"/>
    <mergeCell ref="U12:V12"/>
    <mergeCell ref="X12:Z12"/>
    <mergeCell ref="AB12:AC12"/>
    <mergeCell ref="Q13:T13"/>
    <mergeCell ref="X13:AA13"/>
    <mergeCell ref="Q10:S10"/>
    <mergeCell ref="U10:V10"/>
    <mergeCell ref="X10:Z10"/>
    <mergeCell ref="AB10:AC10"/>
    <mergeCell ref="Q11:T11"/>
    <mergeCell ref="X11:AA11"/>
    <mergeCell ref="Q1:AC5"/>
    <mergeCell ref="Q8:S8"/>
    <mergeCell ref="U8:V8"/>
    <mergeCell ref="X8:Z8"/>
    <mergeCell ref="AB8:AC8"/>
    <mergeCell ref="Q9:T9"/>
    <mergeCell ref="X9:AA9"/>
    <mergeCell ref="D54:E54"/>
    <mergeCell ref="L54:M54"/>
    <mergeCell ref="L44:M44"/>
    <mergeCell ref="D45:E45"/>
    <mergeCell ref="L45:M45"/>
    <mergeCell ref="D46:E46"/>
    <mergeCell ref="L46:M46"/>
    <mergeCell ref="D50:E50"/>
    <mergeCell ref="L50:M50"/>
    <mergeCell ref="D49:E49"/>
    <mergeCell ref="L49:M49"/>
    <mergeCell ref="D47:E47"/>
    <mergeCell ref="D35:E35"/>
    <mergeCell ref="L35:M35"/>
    <mergeCell ref="D32:E32"/>
    <mergeCell ref="L32:M32"/>
    <mergeCell ref="D33:E33"/>
    <mergeCell ref="C63:M64"/>
    <mergeCell ref="C40:G40"/>
    <mergeCell ref="I40:M40"/>
    <mergeCell ref="D41:G41"/>
    <mergeCell ref="J41:M41"/>
    <mergeCell ref="D42:E42"/>
    <mergeCell ref="L42:M42"/>
    <mergeCell ref="D43:E43"/>
    <mergeCell ref="L43:M43"/>
    <mergeCell ref="D44:E44"/>
    <mergeCell ref="L47:M47"/>
    <mergeCell ref="D48:E48"/>
    <mergeCell ref="L48:M48"/>
    <mergeCell ref="D55:E55"/>
    <mergeCell ref="L55:M55"/>
    <mergeCell ref="D56:E56"/>
    <mergeCell ref="L56:M56"/>
    <mergeCell ref="D51:E51"/>
    <mergeCell ref="L51:M51"/>
    <mergeCell ref="D52:E52"/>
    <mergeCell ref="L52:M52"/>
    <mergeCell ref="D53:E53"/>
    <mergeCell ref="L53:M53"/>
    <mergeCell ref="L33:M33"/>
    <mergeCell ref="D34:E34"/>
    <mergeCell ref="L34:M34"/>
    <mergeCell ref="D29:E29"/>
    <mergeCell ref="L29:M29"/>
    <mergeCell ref="D30:E30"/>
    <mergeCell ref="L30:M30"/>
    <mergeCell ref="D31:E31"/>
    <mergeCell ref="L31:M31"/>
    <mergeCell ref="D26:E26"/>
    <mergeCell ref="L26:M26"/>
    <mergeCell ref="D27:E27"/>
    <mergeCell ref="L27:M27"/>
    <mergeCell ref="D28:E28"/>
    <mergeCell ref="L28:M28"/>
    <mergeCell ref="D23:E23"/>
    <mergeCell ref="L23:M23"/>
    <mergeCell ref="D24:E24"/>
    <mergeCell ref="L24:M24"/>
    <mergeCell ref="D25:E25"/>
    <mergeCell ref="L25:M25"/>
    <mergeCell ref="D21:E21"/>
    <mergeCell ref="L21:M21"/>
    <mergeCell ref="D22:E22"/>
    <mergeCell ref="L22:M22"/>
    <mergeCell ref="B14:D14"/>
    <mergeCell ref="F14:G14"/>
    <mergeCell ref="I14:K14"/>
    <mergeCell ref="M14:N14"/>
    <mergeCell ref="C19:G19"/>
    <mergeCell ref="I19:M19"/>
    <mergeCell ref="B13:E13"/>
    <mergeCell ref="I13:L13"/>
    <mergeCell ref="B10:D10"/>
    <mergeCell ref="F10:G10"/>
    <mergeCell ref="I10:K10"/>
    <mergeCell ref="M10:N10"/>
    <mergeCell ref="B11:E11"/>
    <mergeCell ref="I11:L11"/>
    <mergeCell ref="D20:G20"/>
    <mergeCell ref="J20:M20"/>
    <mergeCell ref="B1:N5"/>
    <mergeCell ref="B8:D8"/>
    <mergeCell ref="F8:G8"/>
    <mergeCell ref="I8:K8"/>
    <mergeCell ref="M8:N8"/>
    <mergeCell ref="B9:E9"/>
    <mergeCell ref="I9:L9"/>
    <mergeCell ref="B12:D12"/>
    <mergeCell ref="F12:G12"/>
    <mergeCell ref="I12:K12"/>
    <mergeCell ref="M12:N12"/>
    <mergeCell ref="AF1:AR5"/>
    <mergeCell ref="AF8:AH8"/>
    <mergeCell ref="AJ8:AK8"/>
    <mergeCell ref="AM8:AO8"/>
    <mergeCell ref="AQ8:AR8"/>
    <mergeCell ref="AF9:AI9"/>
    <mergeCell ref="AM9:AP9"/>
    <mergeCell ref="AF10:AH10"/>
    <mergeCell ref="AJ10:AK10"/>
    <mergeCell ref="AM10:AO10"/>
    <mergeCell ref="AQ10:AR10"/>
    <mergeCell ref="AF11:AI11"/>
    <mergeCell ref="AM11:AP11"/>
    <mergeCell ref="AF12:AH12"/>
    <mergeCell ref="AJ12:AK12"/>
    <mergeCell ref="AM12:AO12"/>
    <mergeCell ref="AQ12:AR12"/>
    <mergeCell ref="AF13:AI13"/>
    <mergeCell ref="AM13:AP13"/>
    <mergeCell ref="AF14:AH14"/>
    <mergeCell ref="AJ14:AK14"/>
    <mergeCell ref="AM14:AO14"/>
    <mergeCell ref="AQ14:AR14"/>
    <mergeCell ref="AG19:AK19"/>
    <mergeCell ref="AM19:AQ19"/>
    <mergeCell ref="AH20:AK20"/>
    <mergeCell ref="AN20:AQ20"/>
    <mergeCell ref="AH21:AI21"/>
    <mergeCell ref="AP21:AQ21"/>
    <mergeCell ref="AH22:AI22"/>
    <mergeCell ref="AP22:AQ22"/>
    <mergeCell ref="AH23:AI23"/>
    <mergeCell ref="AG63:AQ64"/>
    <mergeCell ref="AH34:AI34"/>
    <mergeCell ref="AH35:AI35"/>
    <mergeCell ref="AH29:AI29"/>
    <mergeCell ref="AH30:AI30"/>
    <mergeCell ref="AH31:AI31"/>
    <mergeCell ref="AH32:AI32"/>
    <mergeCell ref="AH33:AI33"/>
    <mergeCell ref="AH24:AI24"/>
    <mergeCell ref="AH25:AI25"/>
    <mergeCell ref="AH26:AI26"/>
    <mergeCell ref="AH27:AI27"/>
    <mergeCell ref="AH28:AI28"/>
  </mergeCells>
  <conditionalFormatting sqref="C19">
    <cfRule type="notContainsBlanks" dxfId="38" priority="39" stopIfTrue="1">
      <formula>LEN(TRIM(C19))&gt;0</formula>
    </cfRule>
  </conditionalFormatting>
  <conditionalFormatting sqref="I19">
    <cfRule type="notContainsBlanks" dxfId="37" priority="38" stopIfTrue="1">
      <formula>LEN(TRIM(I19))&gt;0</formula>
    </cfRule>
  </conditionalFormatting>
  <conditionalFormatting sqref="A8:A12 A14">
    <cfRule type="notContainsBlanks" dxfId="36" priority="40" stopIfTrue="1">
      <formula>LEN(TRIM(A8))&gt;0</formula>
    </cfRule>
  </conditionalFormatting>
  <conditionalFormatting sqref="A13">
    <cfRule type="notContainsBlanks" dxfId="35" priority="37" stopIfTrue="1">
      <formula>LEN(TRIM(A13))&gt;0</formula>
    </cfRule>
  </conditionalFormatting>
  <conditionalFormatting sqref="B1">
    <cfRule type="notContainsBlanks" dxfId="34" priority="36" stopIfTrue="1">
      <formula>LEN(TRIM(B1))&gt;0</formula>
    </cfRule>
  </conditionalFormatting>
  <conditionalFormatting sqref="B10 B12 B14 E14 E12 E10 E8">
    <cfRule type="notContainsBlanks" dxfId="33" priority="35" stopIfTrue="1">
      <formula>LEN(TRIM(B8))&gt;0</formula>
    </cfRule>
  </conditionalFormatting>
  <conditionalFormatting sqref="B9">
    <cfRule type="notContainsBlanks" dxfId="32" priority="34" stopIfTrue="1">
      <formula>LEN(TRIM(B9))&gt;0</formula>
    </cfRule>
  </conditionalFormatting>
  <conditionalFormatting sqref="B11">
    <cfRule type="notContainsBlanks" dxfId="31" priority="33" stopIfTrue="1">
      <formula>LEN(TRIM(B11))&gt;0</formula>
    </cfRule>
  </conditionalFormatting>
  <conditionalFormatting sqref="B13">
    <cfRule type="notContainsBlanks" dxfId="30" priority="32" stopIfTrue="1">
      <formula>LEN(TRIM(B13))&gt;0</formula>
    </cfRule>
  </conditionalFormatting>
  <conditionalFormatting sqref="B8">
    <cfRule type="notContainsBlanks" dxfId="29" priority="31" stopIfTrue="1">
      <formula>LEN(TRIM(B8))&gt;0</formula>
    </cfRule>
  </conditionalFormatting>
  <conditionalFormatting sqref="I8:L8 I10:L10 I9 L12 I11 I14:L14 I13">
    <cfRule type="notContainsBlanks" dxfId="28" priority="30" stopIfTrue="1">
      <formula>LEN(TRIM(I8))&gt;0</formula>
    </cfRule>
  </conditionalFormatting>
  <conditionalFormatting sqref="I12">
    <cfRule type="notContainsBlanks" dxfId="27" priority="29" stopIfTrue="1">
      <formula>LEN(TRIM(I12))&gt;0</formula>
    </cfRule>
  </conditionalFormatting>
  <conditionalFormatting sqref="C40">
    <cfRule type="notContainsBlanks" dxfId="26" priority="28" stopIfTrue="1">
      <formula>LEN(TRIM(C40))&gt;0</formula>
    </cfRule>
  </conditionalFormatting>
  <conditionalFormatting sqref="I40">
    <cfRule type="notContainsBlanks" dxfId="25" priority="27" stopIfTrue="1">
      <formula>LEN(TRIM(I40))&gt;0</formula>
    </cfRule>
  </conditionalFormatting>
  <conditionalFormatting sqref="R19">
    <cfRule type="notContainsBlanks" dxfId="24" priority="25" stopIfTrue="1">
      <formula>LEN(TRIM(R19))&gt;0</formula>
    </cfRule>
  </conditionalFormatting>
  <conditionalFormatting sqref="X19">
    <cfRule type="notContainsBlanks" dxfId="23" priority="24" stopIfTrue="1">
      <formula>LEN(TRIM(X19))&gt;0</formula>
    </cfRule>
  </conditionalFormatting>
  <conditionalFormatting sqref="P8:P12 P14">
    <cfRule type="notContainsBlanks" dxfId="22" priority="26" stopIfTrue="1">
      <formula>LEN(TRIM(P8))&gt;0</formula>
    </cfRule>
  </conditionalFormatting>
  <conditionalFormatting sqref="P13">
    <cfRule type="notContainsBlanks" dxfId="21" priority="23" stopIfTrue="1">
      <formula>LEN(TRIM(P13))&gt;0</formula>
    </cfRule>
  </conditionalFormatting>
  <conditionalFormatting sqref="Q1">
    <cfRule type="notContainsBlanks" dxfId="20" priority="22" stopIfTrue="1">
      <formula>LEN(TRIM(Q1))&gt;0</formula>
    </cfRule>
  </conditionalFormatting>
  <conditionalFormatting sqref="Q10 Q12 Q14 T14 T12 T10 T8">
    <cfRule type="notContainsBlanks" dxfId="19" priority="21" stopIfTrue="1">
      <formula>LEN(TRIM(Q8))&gt;0</formula>
    </cfRule>
  </conditionalFormatting>
  <conditionalFormatting sqref="Q9">
    <cfRule type="notContainsBlanks" dxfId="18" priority="20" stopIfTrue="1">
      <formula>LEN(TRIM(Q9))&gt;0</formula>
    </cfRule>
  </conditionalFormatting>
  <conditionalFormatting sqref="Q11">
    <cfRule type="notContainsBlanks" dxfId="17" priority="19" stopIfTrue="1">
      <formula>LEN(TRIM(Q11))&gt;0</formula>
    </cfRule>
  </conditionalFormatting>
  <conditionalFormatting sqref="Q13">
    <cfRule type="notContainsBlanks" dxfId="16" priority="18" stopIfTrue="1">
      <formula>LEN(TRIM(Q13))&gt;0</formula>
    </cfRule>
  </conditionalFormatting>
  <conditionalFormatting sqref="Q8">
    <cfRule type="notContainsBlanks" dxfId="15" priority="17" stopIfTrue="1">
      <formula>LEN(TRIM(Q8))&gt;0</formula>
    </cfRule>
  </conditionalFormatting>
  <conditionalFormatting sqref="X8:AA8 X10:AA10 X9 AA12 X11 X14:AA14 X13">
    <cfRule type="notContainsBlanks" dxfId="14" priority="16" stopIfTrue="1">
      <formula>LEN(TRIM(X8))&gt;0</formula>
    </cfRule>
  </conditionalFormatting>
  <conditionalFormatting sqref="X12">
    <cfRule type="notContainsBlanks" dxfId="13" priority="15" stopIfTrue="1">
      <formula>LEN(TRIM(X12))&gt;0</formula>
    </cfRule>
  </conditionalFormatting>
  <conditionalFormatting sqref="R40">
    <cfRule type="notContainsBlanks" dxfId="12" priority="14" stopIfTrue="1">
      <formula>LEN(TRIM(R40))&gt;0</formula>
    </cfRule>
  </conditionalFormatting>
  <conditionalFormatting sqref="X40">
    <cfRule type="notContainsBlanks" dxfId="11" priority="13" stopIfTrue="1">
      <formula>LEN(TRIM(X40))&gt;0</formula>
    </cfRule>
  </conditionalFormatting>
  <conditionalFormatting sqref="AG19">
    <cfRule type="notContainsBlanks" dxfId="10" priority="12" stopIfTrue="1">
      <formula>LEN(TRIM(AG19))&gt;0</formula>
    </cfRule>
  </conditionalFormatting>
  <conditionalFormatting sqref="AM19">
    <cfRule type="notContainsBlanks" dxfId="9" priority="11" stopIfTrue="1">
      <formula>LEN(TRIM(AM19))&gt;0</formula>
    </cfRule>
  </conditionalFormatting>
  <conditionalFormatting sqref="AF1">
    <cfRule type="notContainsBlanks" dxfId="8" priority="10" stopIfTrue="1">
      <formula>LEN(TRIM(AF1))&gt;0</formula>
    </cfRule>
  </conditionalFormatting>
  <conditionalFormatting sqref="AF10 AF12 AF14 AI14 AI12 AI10 AI8">
    <cfRule type="notContainsBlanks" dxfId="7" priority="9" stopIfTrue="1">
      <formula>LEN(TRIM(AF8))&gt;0</formula>
    </cfRule>
  </conditionalFormatting>
  <conditionalFormatting sqref="AF9">
    <cfRule type="notContainsBlanks" dxfId="6" priority="8" stopIfTrue="1">
      <formula>LEN(TRIM(AF9))&gt;0</formula>
    </cfRule>
  </conditionalFormatting>
  <conditionalFormatting sqref="AF11">
    <cfRule type="notContainsBlanks" dxfId="5" priority="7" stopIfTrue="1">
      <formula>LEN(TRIM(AF11))&gt;0</formula>
    </cfRule>
  </conditionalFormatting>
  <conditionalFormatting sqref="AF13">
    <cfRule type="notContainsBlanks" dxfId="4" priority="6" stopIfTrue="1">
      <formula>LEN(TRIM(AF13))&gt;0</formula>
    </cfRule>
  </conditionalFormatting>
  <conditionalFormatting sqref="AF8">
    <cfRule type="notContainsBlanks" dxfId="3" priority="5" stopIfTrue="1">
      <formula>LEN(TRIM(AF8))&gt;0</formula>
    </cfRule>
  </conditionalFormatting>
  <conditionalFormatting sqref="AM8:AP8 AM10:AP10 AM9 AP12 AM11 AM14:AP14 AM13">
    <cfRule type="notContainsBlanks" dxfId="2" priority="4" stopIfTrue="1">
      <formula>LEN(TRIM(AM8))&gt;0</formula>
    </cfRule>
  </conditionalFormatting>
  <conditionalFormatting sqref="AM12">
    <cfRule type="notContainsBlanks" dxfId="1" priority="3" stopIfTrue="1">
      <formula>LEN(TRIM(AM12))&gt;0</formula>
    </cfRule>
  </conditionalFormatting>
  <conditionalFormatting sqref="AM40">
    <cfRule type="notContainsBlanks" dxfId="0" priority="1" stopIfTrue="1">
      <formula>LEN(TRIM(AM40))&gt;0</formula>
    </cfRule>
  </conditionalFormatting>
  <printOptions verticalCentered="1"/>
  <pageMargins left="0.25" right="0.25" top="0.75" bottom="0.75" header="0.3" footer="0.3"/>
  <pageSetup paperSize="9" scale="7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  <sheetView workbookViewId="1"/>
  </sheetViews>
  <sheetFormatPr defaultRowHeight="12.7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/>
  <dimension ref="A1:H113"/>
  <sheetViews>
    <sheetView workbookViewId="0">
      <selection activeCell="G2" sqref="G2:G28"/>
    </sheetView>
    <sheetView workbookViewId="1"/>
  </sheetViews>
  <sheetFormatPr defaultColWidth="11.42578125" defaultRowHeight="12.75" x14ac:dyDescent="0.2"/>
  <cols>
    <col min="1" max="1" width="9.140625" customWidth="1"/>
    <col min="2" max="2" width="25.140625" customWidth="1"/>
    <col min="3" max="4" width="23" customWidth="1"/>
    <col min="5" max="5" width="22" customWidth="1"/>
    <col min="6" max="6" width="27.5703125" customWidth="1"/>
    <col min="7" max="7" width="26.7109375" customWidth="1"/>
  </cols>
  <sheetData>
    <row r="1" spans="1:7" x14ac:dyDescent="0.2">
      <c r="A1" t="s">
        <v>176</v>
      </c>
      <c r="B1" t="s">
        <v>11</v>
      </c>
      <c r="C1" t="s">
        <v>10</v>
      </c>
      <c r="D1" t="s">
        <v>7</v>
      </c>
      <c r="E1" t="s">
        <v>8</v>
      </c>
      <c r="F1" t="s">
        <v>9</v>
      </c>
      <c r="G1" t="s">
        <v>38</v>
      </c>
    </row>
    <row r="2" spans="1:7" x14ac:dyDescent="0.2">
      <c r="A2">
        <v>0</v>
      </c>
      <c r="B2" s="37" t="s">
        <v>543</v>
      </c>
      <c r="G2" s="37" t="s">
        <v>543</v>
      </c>
    </row>
    <row r="3" spans="1:7" x14ac:dyDescent="0.2">
      <c r="A3">
        <v>1</v>
      </c>
      <c r="B3" s="37" t="s">
        <v>543</v>
      </c>
      <c r="G3" s="37" t="s">
        <v>543</v>
      </c>
    </row>
    <row r="4" spans="1:7" x14ac:dyDescent="0.2">
      <c r="A4">
        <v>2</v>
      </c>
      <c r="B4" s="37" t="s">
        <v>543</v>
      </c>
      <c r="G4" s="37" t="s">
        <v>543</v>
      </c>
    </row>
    <row r="5" spans="1:7" x14ac:dyDescent="0.2">
      <c r="A5">
        <v>3</v>
      </c>
      <c r="B5" s="37" t="s">
        <v>543</v>
      </c>
      <c r="G5" s="37" t="s">
        <v>543</v>
      </c>
    </row>
    <row r="6" spans="1:7" x14ac:dyDescent="0.2">
      <c r="A6">
        <v>4</v>
      </c>
      <c r="B6" s="37" t="s">
        <v>543</v>
      </c>
      <c r="G6" s="37" t="s">
        <v>543</v>
      </c>
    </row>
    <row r="7" spans="1:7" x14ac:dyDescent="0.2">
      <c r="A7">
        <v>5</v>
      </c>
      <c r="B7" s="37" t="s">
        <v>543</v>
      </c>
      <c r="G7" s="37" t="s">
        <v>543</v>
      </c>
    </row>
    <row r="8" spans="1:7" x14ac:dyDescent="0.2">
      <c r="A8">
        <v>6</v>
      </c>
      <c r="B8" s="37" t="s">
        <v>543</v>
      </c>
      <c r="G8" s="37" t="s">
        <v>543</v>
      </c>
    </row>
    <row r="9" spans="1:7" x14ac:dyDescent="0.2">
      <c r="A9">
        <v>7</v>
      </c>
      <c r="B9" s="37" t="s">
        <v>543</v>
      </c>
      <c r="G9" s="37" t="s">
        <v>543</v>
      </c>
    </row>
    <row r="10" spans="1:7" x14ac:dyDescent="0.2">
      <c r="A10">
        <v>8</v>
      </c>
      <c r="B10" s="37" t="s">
        <v>543</v>
      </c>
      <c r="G10" s="37" t="s">
        <v>543</v>
      </c>
    </row>
    <row r="11" spans="1:7" x14ac:dyDescent="0.2">
      <c r="A11">
        <v>9</v>
      </c>
      <c r="B11" s="37" t="s">
        <v>543</v>
      </c>
      <c r="G11" s="37" t="s">
        <v>543</v>
      </c>
    </row>
    <row r="12" spans="1:7" x14ac:dyDescent="0.2">
      <c r="A12">
        <v>10</v>
      </c>
      <c r="B12" s="37" t="s">
        <v>543</v>
      </c>
      <c r="C12" t="s">
        <v>177</v>
      </c>
      <c r="G12" s="37" t="s">
        <v>543</v>
      </c>
    </row>
    <row r="13" spans="1:7" x14ac:dyDescent="0.2">
      <c r="A13">
        <v>11</v>
      </c>
      <c r="B13" s="37" t="s">
        <v>543</v>
      </c>
      <c r="G13" s="37" t="s">
        <v>543</v>
      </c>
    </row>
    <row r="14" spans="1:7" x14ac:dyDescent="0.2">
      <c r="A14">
        <v>12</v>
      </c>
      <c r="B14" s="37" t="s">
        <v>543</v>
      </c>
      <c r="G14" s="37" t="s">
        <v>543</v>
      </c>
    </row>
    <row r="15" spans="1:7" x14ac:dyDescent="0.2">
      <c r="A15">
        <v>13</v>
      </c>
      <c r="B15" s="37" t="s">
        <v>543</v>
      </c>
      <c r="G15" s="37" t="s">
        <v>543</v>
      </c>
    </row>
    <row r="16" spans="1:7" x14ac:dyDescent="0.2">
      <c r="A16">
        <v>14</v>
      </c>
      <c r="B16" s="37" t="s">
        <v>543</v>
      </c>
      <c r="C16" t="s">
        <v>203</v>
      </c>
      <c r="G16" s="37" t="s">
        <v>543</v>
      </c>
    </row>
    <row r="17" spans="1:7" x14ac:dyDescent="0.2">
      <c r="A17">
        <v>15</v>
      </c>
      <c r="B17" s="37" t="s">
        <v>543</v>
      </c>
      <c r="C17" t="s">
        <v>190</v>
      </c>
      <c r="G17" s="37" t="s">
        <v>543</v>
      </c>
    </row>
    <row r="18" spans="1:7" x14ac:dyDescent="0.2">
      <c r="A18">
        <v>16</v>
      </c>
      <c r="B18" s="37" t="s">
        <v>543</v>
      </c>
      <c r="G18" s="37" t="s">
        <v>543</v>
      </c>
    </row>
    <row r="19" spans="1:7" x14ac:dyDescent="0.2">
      <c r="A19">
        <v>17</v>
      </c>
      <c r="B19" s="37" t="s">
        <v>543</v>
      </c>
      <c r="G19" s="37" t="s">
        <v>543</v>
      </c>
    </row>
    <row r="20" spans="1:7" x14ac:dyDescent="0.2">
      <c r="A20">
        <v>18</v>
      </c>
      <c r="B20" s="37" t="s">
        <v>543</v>
      </c>
      <c r="G20" s="37" t="s">
        <v>543</v>
      </c>
    </row>
    <row r="21" spans="1:7" x14ac:dyDescent="0.2">
      <c r="A21">
        <v>19</v>
      </c>
      <c r="B21" s="37" t="s">
        <v>543</v>
      </c>
      <c r="G21" s="37" t="s">
        <v>543</v>
      </c>
    </row>
    <row r="22" spans="1:7" x14ac:dyDescent="0.2">
      <c r="A22">
        <v>20</v>
      </c>
      <c r="B22" s="37" t="s">
        <v>543</v>
      </c>
      <c r="C22" t="s">
        <v>178</v>
      </c>
      <c r="G22" s="37" t="s">
        <v>543</v>
      </c>
    </row>
    <row r="23" spans="1:7" x14ac:dyDescent="0.2">
      <c r="A23">
        <v>21</v>
      </c>
      <c r="B23" s="37" t="s">
        <v>543</v>
      </c>
      <c r="G23" s="37" t="s">
        <v>543</v>
      </c>
    </row>
    <row r="24" spans="1:7" x14ac:dyDescent="0.2">
      <c r="A24">
        <v>22</v>
      </c>
      <c r="B24" s="37" t="s">
        <v>543</v>
      </c>
      <c r="C24" t="s">
        <v>179</v>
      </c>
      <c r="G24" s="37" t="s">
        <v>543</v>
      </c>
    </row>
    <row r="25" spans="1:7" x14ac:dyDescent="0.2">
      <c r="A25">
        <v>23</v>
      </c>
      <c r="B25" s="37" t="s">
        <v>543</v>
      </c>
      <c r="G25" s="37" t="s">
        <v>543</v>
      </c>
    </row>
    <row r="26" spans="1:7" x14ac:dyDescent="0.2">
      <c r="A26">
        <v>24</v>
      </c>
      <c r="B26" s="37" t="s">
        <v>543</v>
      </c>
      <c r="C26" t="s">
        <v>202</v>
      </c>
      <c r="G26" s="37" t="s">
        <v>543</v>
      </c>
    </row>
    <row r="27" spans="1:7" x14ac:dyDescent="0.2">
      <c r="A27">
        <v>25</v>
      </c>
      <c r="B27" s="37" t="s">
        <v>543</v>
      </c>
      <c r="C27" t="s">
        <v>191</v>
      </c>
      <c r="G27" s="37" t="s">
        <v>543</v>
      </c>
    </row>
    <row r="28" spans="1:7" x14ac:dyDescent="0.2">
      <c r="A28">
        <v>26</v>
      </c>
      <c r="B28" s="37" t="s">
        <v>543</v>
      </c>
      <c r="G28" s="37" t="s">
        <v>543</v>
      </c>
    </row>
    <row r="29" spans="1:7" x14ac:dyDescent="0.2">
      <c r="A29">
        <v>27</v>
      </c>
    </row>
    <row r="30" spans="1:7" x14ac:dyDescent="0.2">
      <c r="A30">
        <v>28</v>
      </c>
    </row>
    <row r="31" spans="1:7" x14ac:dyDescent="0.2">
      <c r="A31">
        <v>29</v>
      </c>
    </row>
    <row r="32" spans="1:7" x14ac:dyDescent="0.2">
      <c r="A32">
        <v>30</v>
      </c>
    </row>
    <row r="33" spans="1:3" x14ac:dyDescent="0.2">
      <c r="A33">
        <v>31</v>
      </c>
    </row>
    <row r="34" spans="1:3" x14ac:dyDescent="0.2">
      <c r="A34">
        <v>32</v>
      </c>
    </row>
    <row r="35" spans="1:3" x14ac:dyDescent="0.2">
      <c r="A35">
        <v>33</v>
      </c>
    </row>
    <row r="36" spans="1:3" x14ac:dyDescent="0.2">
      <c r="A36">
        <v>34</v>
      </c>
      <c r="C36" t="s">
        <v>201</v>
      </c>
    </row>
    <row r="37" spans="1:3" x14ac:dyDescent="0.2">
      <c r="A37">
        <v>35</v>
      </c>
      <c r="C37" t="s">
        <v>192</v>
      </c>
    </row>
    <row r="38" spans="1:3" x14ac:dyDescent="0.2">
      <c r="A38">
        <v>36</v>
      </c>
    </row>
    <row r="39" spans="1:3" x14ac:dyDescent="0.2">
      <c r="A39">
        <v>37</v>
      </c>
    </row>
    <row r="40" spans="1:3" x14ac:dyDescent="0.2">
      <c r="A40">
        <v>38</v>
      </c>
    </row>
    <row r="41" spans="1:3" x14ac:dyDescent="0.2">
      <c r="A41">
        <v>39</v>
      </c>
    </row>
    <row r="42" spans="1:3" x14ac:dyDescent="0.2">
      <c r="A42">
        <v>40</v>
      </c>
      <c r="C42" t="s">
        <v>180</v>
      </c>
    </row>
    <row r="43" spans="1:3" x14ac:dyDescent="0.2">
      <c r="A43">
        <v>41</v>
      </c>
    </row>
    <row r="44" spans="1:3" x14ac:dyDescent="0.2">
      <c r="A44">
        <v>42</v>
      </c>
    </row>
    <row r="45" spans="1:3" x14ac:dyDescent="0.2">
      <c r="A45">
        <v>43</v>
      </c>
    </row>
    <row r="46" spans="1:3" x14ac:dyDescent="0.2">
      <c r="A46">
        <v>44</v>
      </c>
      <c r="C46" t="s">
        <v>200</v>
      </c>
    </row>
    <row r="47" spans="1:3" x14ac:dyDescent="0.2">
      <c r="A47">
        <v>45</v>
      </c>
      <c r="C47" t="s">
        <v>193</v>
      </c>
    </row>
    <row r="48" spans="1:3" x14ac:dyDescent="0.2">
      <c r="A48">
        <v>46</v>
      </c>
    </row>
    <row r="49" spans="1:3" x14ac:dyDescent="0.2">
      <c r="A49">
        <v>47</v>
      </c>
    </row>
    <row r="50" spans="1:3" x14ac:dyDescent="0.2">
      <c r="A50">
        <v>48</v>
      </c>
    </row>
    <row r="51" spans="1:3" x14ac:dyDescent="0.2">
      <c r="A51">
        <v>49</v>
      </c>
    </row>
    <row r="52" spans="1:3" x14ac:dyDescent="0.2">
      <c r="A52">
        <v>50</v>
      </c>
      <c r="C52" t="s">
        <v>181</v>
      </c>
    </row>
    <row r="53" spans="1:3" x14ac:dyDescent="0.2">
      <c r="A53">
        <v>51</v>
      </c>
    </row>
    <row r="54" spans="1:3" x14ac:dyDescent="0.2">
      <c r="A54">
        <v>52</v>
      </c>
    </row>
    <row r="55" spans="1:3" x14ac:dyDescent="0.2">
      <c r="A55">
        <v>53</v>
      </c>
    </row>
    <row r="56" spans="1:3" x14ac:dyDescent="0.2">
      <c r="A56">
        <v>54</v>
      </c>
    </row>
    <row r="57" spans="1:3" x14ac:dyDescent="0.2">
      <c r="A57">
        <v>55</v>
      </c>
      <c r="C57" t="s">
        <v>440</v>
      </c>
    </row>
    <row r="58" spans="1:3" x14ac:dyDescent="0.2">
      <c r="A58">
        <v>56</v>
      </c>
    </row>
    <row r="59" spans="1:3" x14ac:dyDescent="0.2">
      <c r="A59">
        <v>57</v>
      </c>
    </row>
    <row r="60" spans="1:3" x14ac:dyDescent="0.2">
      <c r="A60">
        <v>58</v>
      </c>
    </row>
    <row r="61" spans="1:3" x14ac:dyDescent="0.2">
      <c r="A61">
        <v>59</v>
      </c>
    </row>
    <row r="62" spans="1:3" x14ac:dyDescent="0.2">
      <c r="A62">
        <v>60</v>
      </c>
      <c r="C62" t="s">
        <v>182</v>
      </c>
    </row>
    <row r="63" spans="1:3" x14ac:dyDescent="0.2">
      <c r="A63">
        <v>61</v>
      </c>
    </row>
    <row r="64" spans="1:3" x14ac:dyDescent="0.2">
      <c r="A64">
        <v>62</v>
      </c>
    </row>
    <row r="65" spans="1:3" x14ac:dyDescent="0.2">
      <c r="A65">
        <v>63</v>
      </c>
    </row>
    <row r="66" spans="1:3" x14ac:dyDescent="0.2">
      <c r="A66">
        <v>64</v>
      </c>
      <c r="C66" t="s">
        <v>199</v>
      </c>
    </row>
    <row r="67" spans="1:3" x14ac:dyDescent="0.2">
      <c r="A67">
        <v>65</v>
      </c>
      <c r="C67" t="s">
        <v>194</v>
      </c>
    </row>
    <row r="68" spans="1:3" x14ac:dyDescent="0.2">
      <c r="A68">
        <v>66</v>
      </c>
    </row>
    <row r="69" spans="1:3" x14ac:dyDescent="0.2">
      <c r="A69">
        <v>67</v>
      </c>
    </row>
    <row r="70" spans="1:3" x14ac:dyDescent="0.2">
      <c r="A70">
        <v>68</v>
      </c>
    </row>
    <row r="71" spans="1:3" x14ac:dyDescent="0.2">
      <c r="A71">
        <v>69</v>
      </c>
    </row>
    <row r="72" spans="1:3" x14ac:dyDescent="0.2">
      <c r="A72">
        <v>70</v>
      </c>
    </row>
    <row r="73" spans="1:3" x14ac:dyDescent="0.2">
      <c r="A73">
        <v>71</v>
      </c>
    </row>
    <row r="74" spans="1:3" x14ac:dyDescent="0.2">
      <c r="A74">
        <v>72</v>
      </c>
    </row>
    <row r="75" spans="1:3" x14ac:dyDescent="0.2">
      <c r="A75">
        <v>73</v>
      </c>
    </row>
    <row r="76" spans="1:3" x14ac:dyDescent="0.2">
      <c r="A76">
        <v>74</v>
      </c>
    </row>
    <row r="77" spans="1:3" x14ac:dyDescent="0.2">
      <c r="A77">
        <v>75</v>
      </c>
      <c r="C77" t="s">
        <v>195</v>
      </c>
    </row>
    <row r="78" spans="1:3" x14ac:dyDescent="0.2">
      <c r="A78">
        <v>76</v>
      </c>
    </row>
    <row r="79" spans="1:3" x14ac:dyDescent="0.2">
      <c r="A79">
        <v>77</v>
      </c>
    </row>
    <row r="80" spans="1:3" x14ac:dyDescent="0.2">
      <c r="A80">
        <v>78</v>
      </c>
    </row>
    <row r="81" spans="1:3" x14ac:dyDescent="0.2">
      <c r="A81">
        <v>79</v>
      </c>
    </row>
    <row r="82" spans="1:3" x14ac:dyDescent="0.2">
      <c r="A82">
        <v>80</v>
      </c>
      <c r="C82" t="s">
        <v>183</v>
      </c>
    </row>
    <row r="83" spans="1:3" x14ac:dyDescent="0.2">
      <c r="A83">
        <v>81</v>
      </c>
    </row>
    <row r="84" spans="1:3" x14ac:dyDescent="0.2">
      <c r="A84">
        <v>82</v>
      </c>
    </row>
    <row r="85" spans="1:3" x14ac:dyDescent="0.2">
      <c r="A85">
        <v>83</v>
      </c>
    </row>
    <row r="86" spans="1:3" x14ac:dyDescent="0.2">
      <c r="A86">
        <v>84</v>
      </c>
    </row>
    <row r="87" spans="1:3" x14ac:dyDescent="0.2">
      <c r="A87">
        <v>85</v>
      </c>
      <c r="C87" t="s">
        <v>196</v>
      </c>
    </row>
    <row r="88" spans="1:3" x14ac:dyDescent="0.2">
      <c r="A88">
        <v>86</v>
      </c>
    </row>
    <row r="89" spans="1:3" x14ac:dyDescent="0.2">
      <c r="A89">
        <v>87</v>
      </c>
    </row>
    <row r="90" spans="1:3" x14ac:dyDescent="0.2">
      <c r="A90">
        <v>88</v>
      </c>
    </row>
    <row r="91" spans="1:3" x14ac:dyDescent="0.2">
      <c r="A91">
        <v>89</v>
      </c>
    </row>
    <row r="92" spans="1:3" x14ac:dyDescent="0.2">
      <c r="A92">
        <v>90</v>
      </c>
    </row>
    <row r="93" spans="1:3" x14ac:dyDescent="0.2">
      <c r="A93">
        <v>91</v>
      </c>
    </row>
    <row r="94" spans="1:3" x14ac:dyDescent="0.2">
      <c r="A94">
        <v>92</v>
      </c>
    </row>
    <row r="95" spans="1:3" x14ac:dyDescent="0.2">
      <c r="A95">
        <v>93</v>
      </c>
    </row>
    <row r="96" spans="1:3" x14ac:dyDescent="0.2">
      <c r="A96">
        <v>94</v>
      </c>
      <c r="C96" t="s">
        <v>198</v>
      </c>
    </row>
    <row r="97" spans="1:8" x14ac:dyDescent="0.2">
      <c r="A97">
        <v>95</v>
      </c>
      <c r="C97" t="s">
        <v>197</v>
      </c>
    </row>
    <row r="98" spans="1:8" x14ac:dyDescent="0.2">
      <c r="A98">
        <v>96</v>
      </c>
    </row>
    <row r="99" spans="1:8" x14ac:dyDescent="0.2">
      <c r="A99">
        <v>97</v>
      </c>
    </row>
    <row r="100" spans="1:8" x14ac:dyDescent="0.2">
      <c r="A100">
        <v>98</v>
      </c>
    </row>
    <row r="101" spans="1:8" x14ac:dyDescent="0.2">
      <c r="A101">
        <v>99</v>
      </c>
    </row>
    <row r="102" spans="1:8" x14ac:dyDescent="0.2">
      <c r="A102">
        <v>100</v>
      </c>
    </row>
    <row r="111" spans="1:8" x14ac:dyDescent="0.2">
      <c r="A111" s="756" t="s">
        <v>221</v>
      </c>
      <c r="B111" s="756"/>
      <c r="C111" s="756"/>
      <c r="D111" s="756"/>
      <c r="E111" s="756"/>
      <c r="F111" s="756"/>
      <c r="G111" s="756"/>
      <c r="H111" s="756"/>
    </row>
    <row r="112" spans="1:8" x14ac:dyDescent="0.2">
      <c r="A112" t="s">
        <v>219</v>
      </c>
    </row>
    <row r="113" spans="1:1" x14ac:dyDescent="0.2">
      <c r="A113" t="s">
        <v>220</v>
      </c>
    </row>
  </sheetData>
  <mergeCells count="1">
    <mergeCell ref="A111:H111"/>
  </mergeCells>
  <phoneticPr fontId="4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7BB09B69B6C848A65D8FD60D32DADB" ma:contentTypeVersion="13" ma:contentTypeDescription="Create a new document." ma:contentTypeScope="" ma:versionID="2994e441d0fb062669dba5802430d70e">
  <xsd:schema xmlns:xsd="http://www.w3.org/2001/XMLSchema" xmlns:xs="http://www.w3.org/2001/XMLSchema" xmlns:p="http://schemas.microsoft.com/office/2006/metadata/properties" xmlns:ns1="http://schemas.microsoft.com/sharepoint/v3" xmlns:ns2="33351251-2813-42b5-ab08-75c6207e2651" xmlns:ns3="f3eb578e-ab2b-49df-bf6c-390fb9e36938" targetNamespace="http://schemas.microsoft.com/office/2006/metadata/properties" ma:root="true" ma:fieldsID="c05e5a0f58aae5249d7ebd45ca6c1716" ns1:_="" ns2:_="" ns3:_="">
    <xsd:import namespace="http://schemas.microsoft.com/sharepoint/v3"/>
    <xsd:import namespace="33351251-2813-42b5-ab08-75c6207e2651"/>
    <xsd:import namespace="f3eb578e-ab2b-49df-bf6c-390fb9e36938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351251-2813-42b5-ab08-75c6207e26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eb578e-ab2b-49df-bf6c-390fb9e36938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E722E2B-4F1E-4181-8E8A-B99D7598D7D0}">
  <ds:schemaRefs>
    <ds:schemaRef ds:uri="http://schemas.microsoft.com/office/2006/documentManagement/types"/>
    <ds:schemaRef ds:uri="http://www.w3.org/XML/1998/namespace"/>
    <ds:schemaRef ds:uri="33351251-2813-42b5-ab08-75c6207e2651"/>
    <ds:schemaRef ds:uri="http://schemas.openxmlformats.org/package/2006/metadata/core-properties"/>
    <ds:schemaRef ds:uri="http://purl.org/dc/terms/"/>
    <ds:schemaRef ds:uri="http://schemas.microsoft.com/sharepoint/v3"/>
    <ds:schemaRef ds:uri="http://schemas.microsoft.com/office/2006/metadata/properties"/>
    <ds:schemaRef ds:uri="f3eb578e-ab2b-49df-bf6c-390fb9e36938"/>
    <ds:schemaRef ds:uri="http://schemas.microsoft.com/office/infopath/2007/PartnerControls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DE514E4-29D7-4DCC-ABB9-631157E1AF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3351251-2813-42b5-ab08-75c6207e2651"/>
    <ds:schemaRef ds:uri="f3eb578e-ab2b-49df-bf6c-390fb9e369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E209C4E-7DE2-4060-8827-B1EE4F257B2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311</vt:i4>
      </vt:variant>
    </vt:vector>
  </HeadingPairs>
  <TitlesOfParts>
    <vt:vector size="323" baseType="lpstr">
      <vt:lpstr>TestHeader</vt:lpstr>
      <vt:lpstr>DataSheet</vt:lpstr>
      <vt:lpstr>Perfo 1 rating</vt:lpstr>
      <vt:lpstr>Perfo 2 ratings</vt:lpstr>
      <vt:lpstr>Summary TO 1</vt:lpstr>
      <vt:lpstr>RATINGS QUESTION</vt:lpstr>
      <vt:lpstr>Calculation with N1 Modifier 7B</vt:lpstr>
      <vt:lpstr>Calculation with N1 Modifier 5B</vt:lpstr>
      <vt:lpstr>Performances TO 1-2</vt:lpstr>
      <vt:lpstr>Engine Data Validation</vt:lpstr>
      <vt:lpstr>Sheet1</vt:lpstr>
      <vt:lpstr>enum_list</vt:lpstr>
      <vt:lpstr>C_Bonus_Workscope</vt:lpstr>
      <vt:lpstr>C_CPR</vt:lpstr>
      <vt:lpstr>C_CTR</vt:lpstr>
      <vt:lpstr>C_DAMV_SEL</vt:lpstr>
      <vt:lpstr>C_DASH_NUM</vt:lpstr>
      <vt:lpstr>C_DateDays</vt:lpstr>
      <vt:lpstr>C_DateTime</vt:lpstr>
      <vt:lpstr>C_ECU_Software</vt:lpstr>
      <vt:lpstr>C_ECU_TEMP_A</vt:lpstr>
      <vt:lpstr>C_ECU_TEMP_B</vt:lpstr>
      <vt:lpstr>C_EGT_TRIM</vt:lpstr>
      <vt:lpstr>C_EGTHD</vt:lpstr>
      <vt:lpstr>C_EGTHD_LIM_MC</vt:lpstr>
      <vt:lpstr>C_EGTHD_LIM_TO</vt:lpstr>
      <vt:lpstr>C_EGTHD_MARG</vt:lpstr>
      <vt:lpstr>C_EGTHDM</vt:lpstr>
      <vt:lpstr>C_EGTK</vt:lpstr>
      <vt:lpstr>C_EGTKM</vt:lpstr>
      <vt:lpstr>C_Engine_Configuration_1</vt:lpstr>
      <vt:lpstr>C_Engine_Configuration_2</vt:lpstr>
      <vt:lpstr>C_Engine_Configuration_3</vt:lpstr>
      <vt:lpstr>C_Engine_Quality_Repair</vt:lpstr>
      <vt:lpstr>C_Engine_Rating</vt:lpstr>
      <vt:lpstr>C_Engine_Type</vt:lpstr>
      <vt:lpstr>C_Engineer_Name</vt:lpstr>
      <vt:lpstr>C_EPR</vt:lpstr>
      <vt:lpstr>C_ESM_Rev_No</vt:lpstr>
      <vt:lpstr>C_EXPN1M</vt:lpstr>
      <vt:lpstr>C_FL_AI</vt:lpstr>
      <vt:lpstr>C_FL_CHA</vt:lpstr>
      <vt:lpstr>C_FL_MC</vt:lpstr>
      <vt:lpstr>C_FL_MI</vt:lpstr>
      <vt:lpstr>C_FL_RED_CHA</vt:lpstr>
      <vt:lpstr>C_FL_RED_CHB</vt:lpstr>
      <vt:lpstr>C_FL_TO</vt:lpstr>
      <vt:lpstr>C_FL_YEL_CHA</vt:lpstr>
      <vt:lpstr>C_FL_YEL_CHB</vt:lpstr>
      <vt:lpstr>C_FLAT_RATE</vt:lpstr>
      <vt:lpstr>C_FMEGT</vt:lpstr>
      <vt:lpstr>C_FMFN</vt:lpstr>
      <vt:lpstr>C_FMN2</vt:lpstr>
      <vt:lpstr>C_FMV_DMD_A</vt:lpstr>
      <vt:lpstr>C_FMV_DMD_B</vt:lpstr>
      <vt:lpstr>C_FMV_SEL_A</vt:lpstr>
      <vt:lpstr>C_FMV_SEL_B</vt:lpstr>
      <vt:lpstr>C_FMW2</vt:lpstr>
      <vt:lpstr>C_FMWF</vt:lpstr>
      <vt:lpstr>C_FnCorrTC1Avg</vt:lpstr>
      <vt:lpstr>C_FnCorrTC2Avg</vt:lpstr>
      <vt:lpstr>C_FNK</vt:lpstr>
      <vt:lpstr>C_FNK_MC_LO</vt:lpstr>
      <vt:lpstr>C_FNK_MC_MAR</vt:lpstr>
      <vt:lpstr>C_FNK_TO_LO</vt:lpstr>
      <vt:lpstr>C_FNK_TO_MAR</vt:lpstr>
      <vt:lpstr>C_FNKM</vt:lpstr>
      <vt:lpstr>C_FNnet</vt:lpstr>
      <vt:lpstr>C_FPR</vt:lpstr>
      <vt:lpstr>C_FuelBurn</vt:lpstr>
      <vt:lpstr>C_FuelCons</vt:lpstr>
      <vt:lpstr>C_FuelCons_EngTest</vt:lpstr>
      <vt:lpstr>C_KSHUNT</vt:lpstr>
      <vt:lpstr>C_LHV</vt:lpstr>
      <vt:lpstr>C_LPTC_DMD_A</vt:lpstr>
      <vt:lpstr>C_LPTC_DMD_B</vt:lpstr>
      <vt:lpstr>C_LPTC_SEL_A</vt:lpstr>
      <vt:lpstr>C_LPTC_SEL_B</vt:lpstr>
      <vt:lpstr>C_MOP</vt:lpstr>
      <vt:lpstr>C_MOPK</vt:lpstr>
      <vt:lpstr>C_MOT</vt:lpstr>
      <vt:lpstr>C_N1</vt:lpstr>
      <vt:lpstr>C_N1_Ana</vt:lpstr>
      <vt:lpstr>C_N1_ECU_CMD_A</vt:lpstr>
      <vt:lpstr>C_N1_ECU_CMD_B</vt:lpstr>
      <vt:lpstr>C_N1_ECU_MAX</vt:lpstr>
      <vt:lpstr>C_N1_IND_A</vt:lpstr>
      <vt:lpstr>C_N1_IND_B</vt:lpstr>
      <vt:lpstr>C_N1_MOD_LEV</vt:lpstr>
      <vt:lpstr>C_N1_MOD_LEV_CA</vt:lpstr>
      <vt:lpstr>C_N1_SEL_A</vt:lpstr>
      <vt:lpstr>C_N1_SEL_B</vt:lpstr>
      <vt:lpstr>C_N1K</vt:lpstr>
      <vt:lpstr>C_N1R</vt:lpstr>
      <vt:lpstr>C_N1R_MC</vt:lpstr>
      <vt:lpstr>C_N1R_TO</vt:lpstr>
      <vt:lpstr>C_N1R247</vt:lpstr>
      <vt:lpstr>C_N1RDWN</vt:lpstr>
      <vt:lpstr>C_N1REF_MC</vt:lpstr>
      <vt:lpstr>C_N1REF_TO</vt:lpstr>
      <vt:lpstr>C_N2</vt:lpstr>
      <vt:lpstr>C_N2_Ana</vt:lpstr>
      <vt:lpstr>C_N2_SEL_A</vt:lpstr>
      <vt:lpstr>C_N2_SEL_B</vt:lpstr>
      <vt:lpstr>C_N2HD_MAR</vt:lpstr>
      <vt:lpstr>C_N2HD_TO_HI</vt:lpstr>
      <vt:lpstr>C_N2HDM</vt:lpstr>
      <vt:lpstr>C_N2K</vt:lpstr>
      <vt:lpstr>C_N2KM</vt:lpstr>
      <vt:lpstr>C_N2R25</vt:lpstr>
      <vt:lpstr>C_N2R2HD</vt:lpstr>
      <vt:lpstr>C_N2RDWN</vt:lpstr>
      <vt:lpstr>C_OilQty</vt:lpstr>
      <vt:lpstr>C_Operator_Name</vt:lpstr>
      <vt:lpstr>C_P_Cell_Front</vt:lpstr>
      <vt:lpstr>C_P_Cell_Rear</vt:lpstr>
      <vt:lpstr>C_P_Fuel</vt:lpstr>
      <vt:lpstr>C_P_Fuel_Fac</vt:lpstr>
      <vt:lpstr>C_P_OIL_SUPPLY</vt:lpstr>
      <vt:lpstr>C_P_Sop_Diff</vt:lpstr>
      <vt:lpstr>C_P_Sump</vt:lpstr>
      <vt:lpstr>C_P0_SEL_A</vt:lpstr>
      <vt:lpstr>C_P0_SEL_B</vt:lpstr>
      <vt:lpstr>C_P25_ECU</vt:lpstr>
      <vt:lpstr>C_PAMB1</vt:lpstr>
      <vt:lpstr>C_PAMB2</vt:lpstr>
      <vt:lpstr>C_PANEL_MODE_A</vt:lpstr>
      <vt:lpstr>C_PS12_A</vt:lpstr>
      <vt:lpstr>C_PS12_B</vt:lpstr>
      <vt:lpstr>C_PS13</vt:lpstr>
      <vt:lpstr>C_PS13_ECU</vt:lpstr>
      <vt:lpstr>C_PS2</vt:lpstr>
      <vt:lpstr>C_PS2W</vt:lpstr>
      <vt:lpstr>C_PS2W1</vt:lpstr>
      <vt:lpstr>C_PS2W2</vt:lpstr>
      <vt:lpstr>C_PS2W3</vt:lpstr>
      <vt:lpstr>C_PS2W4</vt:lpstr>
      <vt:lpstr>C_PS3_SEL_A</vt:lpstr>
      <vt:lpstr>C_PS3_SEL_B</vt:lpstr>
      <vt:lpstr>C_PS3R_SEL</vt:lpstr>
      <vt:lpstr>C_PT17</vt:lpstr>
      <vt:lpstr>C_PT17_1</vt:lpstr>
      <vt:lpstr>C_PT17_2</vt:lpstr>
      <vt:lpstr>C_PT17_3</vt:lpstr>
      <vt:lpstr>C_PT17_4</vt:lpstr>
      <vt:lpstr>C_Pt2_DIV_PS2</vt:lpstr>
      <vt:lpstr>C_PT2_ECU_A</vt:lpstr>
      <vt:lpstr>C_PT2_ECU_B</vt:lpstr>
      <vt:lpstr>C_PT495</vt:lpstr>
      <vt:lpstr>C_PT54</vt:lpstr>
      <vt:lpstr>C_RAC_SEL</vt:lpstr>
      <vt:lpstr>C_RAC_TBV_SEL_B</vt:lpstr>
      <vt:lpstr>C_RHFront</vt:lpstr>
      <vt:lpstr>C_RHRear</vt:lpstr>
      <vt:lpstr>C_RHUM</vt:lpstr>
      <vt:lpstr>C_SFCRF</vt:lpstr>
      <vt:lpstr>C_SGFuel</vt:lpstr>
      <vt:lpstr>C_SGFuel_</vt:lpstr>
      <vt:lpstr>C_SPEED_REGULATOR_A</vt:lpstr>
      <vt:lpstr>C_T_AFT_ADAPT</vt:lpstr>
      <vt:lpstr>C_T_Cell</vt:lpstr>
      <vt:lpstr>C_T_Cell_CenPort</vt:lpstr>
      <vt:lpstr>C_T_Cell_CenStbd</vt:lpstr>
      <vt:lpstr>C_T_Cell_Centre</vt:lpstr>
      <vt:lpstr>C_T_Cell_LowMid</vt:lpstr>
      <vt:lpstr>C_T_Cell_LowPort</vt:lpstr>
      <vt:lpstr>C_T_Cell_UpMid</vt:lpstr>
      <vt:lpstr>C_T_Cell_UpPort</vt:lpstr>
      <vt:lpstr>C_T_Cell_UpStbd</vt:lpstr>
      <vt:lpstr>C_T_COWL_AFT</vt:lpstr>
      <vt:lpstr>C_T_COWL_FWD</vt:lpstr>
      <vt:lpstr>C_T_Fuel_Fac</vt:lpstr>
      <vt:lpstr>C_T_FWD_ADAPT</vt:lpstr>
      <vt:lpstr>C_T_Soil</vt:lpstr>
      <vt:lpstr>C_T12_ECU_A</vt:lpstr>
      <vt:lpstr>C_T12_ECU_B</vt:lpstr>
      <vt:lpstr>C_T25_SEL_A</vt:lpstr>
      <vt:lpstr>C_T25_SEL_B</vt:lpstr>
      <vt:lpstr>C_T3_SEL_A</vt:lpstr>
      <vt:lpstr>C_T3_SEL_B</vt:lpstr>
      <vt:lpstr>C_T495_SEL_A</vt:lpstr>
      <vt:lpstr>C_T495_SEL_B</vt:lpstr>
      <vt:lpstr>C_T5_SEL_A</vt:lpstr>
      <vt:lpstr>C_T5_SEL_B</vt:lpstr>
      <vt:lpstr>C_tAcc1</vt:lpstr>
      <vt:lpstr>C_TAT_SEL</vt:lpstr>
      <vt:lpstr>C_TEO_SEL</vt:lpstr>
      <vt:lpstr>C_Test_Type</vt:lpstr>
      <vt:lpstr>C_THETA_HD</vt:lpstr>
      <vt:lpstr>C_TLA</vt:lpstr>
      <vt:lpstr>C_TLA_SEL_A</vt:lpstr>
      <vt:lpstr>C_TLA_SEL_B</vt:lpstr>
      <vt:lpstr>C_TM_ACCEL</vt:lpstr>
      <vt:lpstr>C_TM_ACCEL_</vt:lpstr>
      <vt:lpstr>C_TOTCPR</vt:lpstr>
      <vt:lpstr>C_TPR</vt:lpstr>
      <vt:lpstr>C_TRISE</vt:lpstr>
      <vt:lpstr>C_TRISE_MC</vt:lpstr>
      <vt:lpstr>C_TRISE_TO</vt:lpstr>
      <vt:lpstr>C_tRunning</vt:lpstr>
      <vt:lpstr>C_TT2</vt:lpstr>
      <vt:lpstr>C_TT2_F</vt:lpstr>
      <vt:lpstr>C_VBV_DMD_A</vt:lpstr>
      <vt:lpstr>C_VBV_DMD_B</vt:lpstr>
      <vt:lpstr>C_VBV_SEL_A</vt:lpstr>
      <vt:lpstr>C_VBV_SEL_B</vt:lpstr>
      <vt:lpstr>C_Vib1N1Pk</vt:lpstr>
      <vt:lpstr>C_Vib1N1PkD</vt:lpstr>
      <vt:lpstr>C_Vib1N2Pk</vt:lpstr>
      <vt:lpstr>C_Vib1N2PkD</vt:lpstr>
      <vt:lpstr>C_Vib2N1Pk</vt:lpstr>
      <vt:lpstr>C_Vib2N1PkD</vt:lpstr>
      <vt:lpstr>C_Vib2N2Pk</vt:lpstr>
      <vt:lpstr>C_Vib2N2PkD</vt:lpstr>
      <vt:lpstr>C_VIBN1PAL</vt:lpstr>
      <vt:lpstr>C_VIBN1TRF</vt:lpstr>
      <vt:lpstr>C_VIBN2PAL</vt:lpstr>
      <vt:lpstr>C_VIBN2TRF</vt:lpstr>
      <vt:lpstr>C_VSV_DMD_DEG_A</vt:lpstr>
      <vt:lpstr>C_VSV_DMD_DEG_B</vt:lpstr>
      <vt:lpstr>C_VSV_SEL_A</vt:lpstr>
      <vt:lpstr>C_VSV_SEL_B</vt:lpstr>
      <vt:lpstr>C_W2K</vt:lpstr>
      <vt:lpstr>C_WF_M1Hi</vt:lpstr>
      <vt:lpstr>C_WF_M1Lo</vt:lpstr>
      <vt:lpstr>C_WF_M2Hi</vt:lpstr>
      <vt:lpstr>C_WF_M2Lo</vt:lpstr>
      <vt:lpstr>C_WF1</vt:lpstr>
      <vt:lpstr>C_WF2</vt:lpstr>
      <vt:lpstr>C_WFK</vt:lpstr>
      <vt:lpstr>C_WFM_SEL_A</vt:lpstr>
      <vt:lpstr>C_WFM_SEL_B</vt:lpstr>
      <vt:lpstr>C_XEGT</vt:lpstr>
      <vt:lpstr>H_ARCH_DATE</vt:lpstr>
      <vt:lpstr>H_ARCH_SET_ID</vt:lpstr>
      <vt:lpstr>H_BONUS_WORKSCOPE</vt:lpstr>
      <vt:lpstr>H_BOUNS_WORKSCOPE</vt:lpstr>
      <vt:lpstr>H_BUILD_NO</vt:lpstr>
      <vt:lpstr>H_CLEANED</vt:lpstr>
      <vt:lpstr>H_CSN</vt:lpstr>
      <vt:lpstr>H_CUSTOMER</vt:lpstr>
      <vt:lpstr>H_CUSTOMER_NAME</vt:lpstr>
      <vt:lpstr>H_ECU_PN</vt:lpstr>
      <vt:lpstr>H_ECU_SOFT</vt:lpstr>
      <vt:lpstr>H_ENG_CONF</vt:lpstr>
      <vt:lpstr>H_ENG_CONF_2</vt:lpstr>
      <vt:lpstr>H_ENG_CONF_3</vt:lpstr>
      <vt:lpstr>H_ENG_QUALITY_REPAIR</vt:lpstr>
      <vt:lpstr>H_ENG_RATING</vt:lpstr>
      <vt:lpstr>H_ENGINE_NAME</vt:lpstr>
      <vt:lpstr>H_ENGINE_SERIAL_NO</vt:lpstr>
      <vt:lpstr>H_ENGINE_STANDARD</vt:lpstr>
      <vt:lpstr>H_ENGINE_TYPE</vt:lpstr>
      <vt:lpstr>H_ESM_REV_DATE</vt:lpstr>
      <vt:lpstr>H_ESM_REV_NO</vt:lpstr>
      <vt:lpstr>H_EXHAUST_NOZZLE</vt:lpstr>
      <vt:lpstr>H_FIRE_WIRE_1_INSTALLED</vt:lpstr>
      <vt:lpstr>H_FIRE_WIRE_2_INSTALLED</vt:lpstr>
      <vt:lpstr>H_LHV</vt:lpstr>
      <vt:lpstr>H_OIL_TYPE</vt:lpstr>
      <vt:lpstr>H_SG</vt:lpstr>
      <vt:lpstr>H_SG_TEMP</vt:lpstr>
      <vt:lpstr>H_TEST_CELL_NAME</vt:lpstr>
      <vt:lpstr>H_TEST_CLOSED</vt:lpstr>
      <vt:lpstr>H_TEST_CLOSED_DATE</vt:lpstr>
      <vt:lpstr>H_TEST_COMPLETED</vt:lpstr>
      <vt:lpstr>H_TEST_DATE</vt:lpstr>
      <vt:lpstr>H_TEST_DESC</vt:lpstr>
      <vt:lpstr>H_TEST_END_DATE</vt:lpstr>
      <vt:lpstr>H_TEST_ENG</vt:lpstr>
      <vt:lpstr>H_TEST_ID</vt:lpstr>
      <vt:lpstr>H_TEST_NAME</vt:lpstr>
      <vt:lpstr>H_TEST_OPER1</vt:lpstr>
      <vt:lpstr>H_TEST_OPER2</vt:lpstr>
      <vt:lpstr>H_TEST_TRANSFERRED</vt:lpstr>
      <vt:lpstr>H_TEST_TYPE</vt:lpstr>
      <vt:lpstr>H_TSN</vt:lpstr>
      <vt:lpstr>'Engine Data Validation'!Print_Area</vt:lpstr>
      <vt:lpstr>S_Accel</vt:lpstr>
      <vt:lpstr>S_Accel_LT</vt:lpstr>
      <vt:lpstr>S_Accel_LV</vt:lpstr>
      <vt:lpstr>S_approach_idle</vt:lpstr>
      <vt:lpstr>S_approach_idle_LT</vt:lpstr>
      <vt:lpstr>S_approach_idle_LV</vt:lpstr>
      <vt:lpstr>S_maxi_continu1</vt:lpstr>
      <vt:lpstr>S_maxi_continu1_LT</vt:lpstr>
      <vt:lpstr>S_maxi_continu1_LV</vt:lpstr>
      <vt:lpstr>S_maxi_continu2</vt:lpstr>
      <vt:lpstr>S_maxi_continu2_LT</vt:lpstr>
      <vt:lpstr>S_maxi_continu2_LV</vt:lpstr>
      <vt:lpstr>S_maxi_continu3</vt:lpstr>
      <vt:lpstr>S_maxi_continu3_LT</vt:lpstr>
      <vt:lpstr>S_maxi_continu3_LV</vt:lpstr>
      <vt:lpstr>S_maxi_continu4</vt:lpstr>
      <vt:lpstr>S_maxi_continu4_LT</vt:lpstr>
      <vt:lpstr>S_maxi_continu4_LV</vt:lpstr>
      <vt:lpstr>S_maxi_continu5</vt:lpstr>
      <vt:lpstr>S_maxi_continu5_LT</vt:lpstr>
      <vt:lpstr>S_maxi_continu5_LV</vt:lpstr>
      <vt:lpstr>S_mini_idle</vt:lpstr>
      <vt:lpstr>S_mini_idle_LT</vt:lpstr>
      <vt:lpstr>S_mini_idle_LV</vt:lpstr>
      <vt:lpstr>S_pic_de_vib</vt:lpstr>
      <vt:lpstr>S_pic_de_vib_LT</vt:lpstr>
      <vt:lpstr>S_pic_de_vib_LV</vt:lpstr>
      <vt:lpstr>S_Shut_D_oil_fuel</vt:lpstr>
      <vt:lpstr>S_Shut_D_oil_fuel_LT</vt:lpstr>
      <vt:lpstr>S_Shut_D_oil_fuel_LV</vt:lpstr>
      <vt:lpstr>S_take_off1</vt:lpstr>
      <vt:lpstr>S_take_off1_LT</vt:lpstr>
      <vt:lpstr>S_take_off1_LV</vt:lpstr>
      <vt:lpstr>S_take_off2</vt:lpstr>
      <vt:lpstr>S_take_off2_LT</vt:lpstr>
      <vt:lpstr>S_take_off2_LV</vt:lpstr>
      <vt:lpstr>S_take_off3</vt:lpstr>
      <vt:lpstr>S_take_off3_LT</vt:lpstr>
      <vt:lpstr>S_take_off3_LV</vt:lpstr>
      <vt:lpstr>S_take_off4</vt:lpstr>
      <vt:lpstr>S_take_off4_LT</vt:lpstr>
      <vt:lpstr>S_take_off4_LV</vt:lpstr>
      <vt:lpstr>S_take_off5</vt:lpstr>
      <vt:lpstr>S_take_off5_LT</vt:lpstr>
      <vt:lpstr>S_take_off5_LV</vt:lpstr>
    </vt:vector>
  </TitlesOfParts>
  <Company>MDS Aero Support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</dc:creator>
  <cp:lastModifiedBy>Nicholas Jeffers</cp:lastModifiedBy>
  <cp:lastPrinted>2019-10-24T15:35:01Z</cp:lastPrinted>
  <dcterms:created xsi:type="dcterms:W3CDTF">2013-01-15T16:30:19Z</dcterms:created>
  <dcterms:modified xsi:type="dcterms:W3CDTF">2021-01-22T16:10:29Z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0x010100487BB09B69B6C848A65D8FD60D32DADB</vt:lpwstr>
  </property>
</Properties>
</file>