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gcasanova\Source\Repos\GitHub\open-boiler\electronics\worksheets\"/>
    </mc:Choice>
  </mc:AlternateContent>
  <xr:revisionPtr revIDLastSave="0" documentId="13_ncr:1_{05F7A0A5-30E4-4808-AE3D-6E68798B6EFF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Heat Levels" sheetId="15" r:id="rId8"/>
    <sheet name="NTC table" sheetId="14" r:id="rId9"/>
  </sheets>
  <definedNames>
    <definedName name="_xlnm._FilterDatabase" localSheetId="7" hidden="1">'Heat Levels'!$B$8:$G$8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5" l="1"/>
  <c r="X11" i="15"/>
  <c r="X12" i="15" s="1"/>
  <c r="Y11" i="15" s="1"/>
  <c r="Y12" i="15" s="1"/>
  <c r="Z11" i="15" s="1"/>
  <c r="Z12" i="15" s="1"/>
  <c r="AA11" i="15" s="1"/>
  <c r="AA12" i="15" s="1"/>
  <c r="AB11" i="15" s="1"/>
  <c r="AB12" i="15" s="1"/>
  <c r="AC11" i="15" s="1"/>
  <c r="AC12" i="15" s="1"/>
  <c r="AD11" i="15" s="1"/>
  <c r="AD12" i="15" s="1"/>
  <c r="AE11" i="15" s="1"/>
  <c r="AE12" i="15" s="1"/>
  <c r="AF11" i="15" s="1"/>
  <c r="AF12" i="15" s="1"/>
  <c r="W12" i="15"/>
  <c r="W11" i="15"/>
  <c r="V12" i="15"/>
  <c r="V11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K4" i="15"/>
  <c r="M4" i="15" s="1"/>
  <c r="N4" i="15" s="1"/>
  <c r="O4" i="15" s="1"/>
  <c r="O36" i="15"/>
  <c r="N36" i="15"/>
  <c r="Q36" i="15" s="1"/>
  <c r="I36" i="15"/>
  <c r="O35" i="15"/>
  <c r="N35" i="15"/>
  <c r="Q35" i="15" s="1"/>
  <c r="I35" i="15"/>
  <c r="O34" i="15"/>
  <c r="N34" i="15"/>
  <c r="Q34" i="15" s="1"/>
  <c r="I34" i="15"/>
  <c r="O33" i="15"/>
  <c r="N33" i="15"/>
  <c r="Q33" i="15" s="1"/>
  <c r="I33" i="15"/>
  <c r="O32" i="15"/>
  <c r="N32" i="15"/>
  <c r="Q32" i="15" s="1"/>
  <c r="I32" i="15"/>
  <c r="O31" i="15"/>
  <c r="N31" i="15"/>
  <c r="Q31" i="15" s="1"/>
  <c r="I31" i="15"/>
  <c r="O30" i="15"/>
  <c r="N30" i="15"/>
  <c r="Q30" i="15" s="1"/>
  <c r="I30" i="15"/>
  <c r="O29" i="15"/>
  <c r="N29" i="15"/>
  <c r="Q29" i="15" s="1"/>
  <c r="I29" i="15"/>
  <c r="O28" i="15"/>
  <c r="N28" i="15"/>
  <c r="Q28" i="15" s="1"/>
  <c r="I28" i="15"/>
  <c r="O27" i="15"/>
  <c r="N27" i="15"/>
  <c r="Q27" i="15" s="1"/>
  <c r="I27" i="15"/>
  <c r="O26" i="15"/>
  <c r="N26" i="15"/>
  <c r="Q26" i="15" s="1"/>
  <c r="I26" i="15"/>
  <c r="O25" i="15"/>
  <c r="N25" i="15"/>
  <c r="Q25" i="15" s="1"/>
  <c r="I25" i="15"/>
  <c r="O24" i="15"/>
  <c r="N24" i="15"/>
  <c r="Q24" i="15" s="1"/>
  <c r="I24" i="15"/>
  <c r="O23" i="15"/>
  <c r="N23" i="15"/>
  <c r="Q23" i="15" s="1"/>
  <c r="I23" i="15"/>
  <c r="O22" i="15"/>
  <c r="N22" i="15"/>
  <c r="Q22" i="15" s="1"/>
  <c r="I22" i="15"/>
  <c r="O21" i="15"/>
  <c r="N21" i="15"/>
  <c r="Q21" i="15" s="1"/>
  <c r="I21" i="15"/>
  <c r="O20" i="15"/>
  <c r="N20" i="15"/>
  <c r="Q20" i="15" s="1"/>
  <c r="I20" i="15"/>
  <c r="O19" i="15"/>
  <c r="N19" i="15"/>
  <c r="Q19" i="15" s="1"/>
  <c r="I19" i="15"/>
  <c r="O18" i="15"/>
  <c r="N18" i="15"/>
  <c r="Q18" i="15" s="1"/>
  <c r="I18" i="15"/>
  <c r="O17" i="15"/>
  <c r="N17" i="15"/>
  <c r="Q17" i="15" s="1"/>
  <c r="I17" i="15"/>
  <c r="O16" i="15"/>
  <c r="N16" i="15"/>
  <c r="Q16" i="15" s="1"/>
  <c r="I16" i="15"/>
  <c r="O15" i="15"/>
  <c r="N15" i="15"/>
  <c r="Q15" i="15" s="1"/>
  <c r="I15" i="15"/>
  <c r="O14" i="15"/>
  <c r="N14" i="15"/>
  <c r="Q14" i="15" s="1"/>
  <c r="I14" i="15"/>
  <c r="O13" i="15"/>
  <c r="N13" i="15"/>
  <c r="Q13" i="15" s="1"/>
  <c r="I13" i="15"/>
  <c r="O12" i="15"/>
  <c r="N12" i="15"/>
  <c r="Q12" i="15" s="1"/>
  <c r="I12" i="15"/>
  <c r="O11" i="15"/>
  <c r="N11" i="15"/>
  <c r="Q11" i="15" s="1"/>
  <c r="I11" i="15"/>
  <c r="O10" i="15"/>
  <c r="N10" i="15"/>
  <c r="Q10" i="15" s="1"/>
  <c r="I10" i="15"/>
  <c r="O9" i="15"/>
  <c r="N9" i="15"/>
  <c r="Q9" i="15" s="1"/>
  <c r="I9" i="15"/>
  <c r="J6" i="15"/>
  <c r="I4" i="15"/>
  <c r="J4" i="15" s="1"/>
  <c r="H4" i="15"/>
  <c r="P4" i="15" l="1"/>
  <c r="O5" i="15"/>
  <c r="C13" i="14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Q4" i="15" l="1"/>
  <c r="P5" i="15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R4" i="15" l="1"/>
  <c r="Q5" i="15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R5" i="15" l="1"/>
  <c r="S4" i="15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T4" i="15" l="1"/>
  <c r="S5" i="15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U4" i="15" l="1"/>
  <c r="T5" i="15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U5" i="15" l="1"/>
  <c r="V4" i="15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V5" i="15" l="1"/>
  <c r="W4" i="15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X4" i="15" l="1"/>
  <c r="W5" i="15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Y4" i="15" l="1"/>
  <c r="X5" i="15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Z4" i="15" l="1"/>
  <c r="Y5" i="15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Z5" i="15" l="1"/>
  <c r="AA4" i="15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AB4" i="15" l="1"/>
  <c r="AA5" i="15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AC4" i="15" l="1"/>
  <c r="AB5" i="15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AC5" i="15" l="1"/>
  <c r="AD4" i="15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AD5" i="15" l="1"/>
  <c r="AE4" i="15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AF4" i="15" l="1"/>
  <c r="AE5" i="15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AG4" i="15" l="1"/>
  <c r="AF5" i="15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AG5" i="15" l="1"/>
  <c r="AH4" i="15"/>
  <c r="M101" i="5"/>
  <c r="N101" i="5"/>
  <c r="M103" i="5"/>
  <c r="N103" i="5"/>
  <c r="N102" i="5"/>
  <c r="M102" i="5"/>
  <c r="AH5" i="15" l="1"/>
  <c r="AI4" i="15"/>
  <c r="AJ4" i="15" l="1"/>
  <c r="AI5" i="15"/>
  <c r="AK4" i="15" l="1"/>
  <c r="AJ5" i="15"/>
  <c r="AL4" i="15" l="1"/>
  <c r="AK5" i="15"/>
  <c r="AL5" i="15" l="1"/>
  <c r="AM4" i="15"/>
  <c r="AN4" i="15" l="1"/>
  <c r="AM5" i="15"/>
  <c r="AO4" i="15" l="1"/>
  <c r="AO5" i="15" s="1"/>
  <c r="AN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84830106-6B98-46CA-93CC-A32E917542A2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EB02EFCB-9454-4F94-8D18-CF18DDBCE09E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654F5352-182C-466F-8CCF-DB8F0DFFBC79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sharedStrings.xml><?xml version="1.0" encoding="utf-8"?>
<sst xmlns="http://schemas.openxmlformats.org/spreadsheetml/2006/main" count="248" uniqueCount="101">
  <si>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</si>
  <si>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</si>
  <si>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</si>
  <si>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</si>
  <si>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</si>
  <si>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</si>
  <si>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</si>
  <si>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</si>
  <si>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</si>
  <si>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</si>
  <si>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</si>
  <si>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</si>
  <si>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</si>
  <si>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</si>
  <si>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</si>
  <si>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</si>
  <si>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</si>
  <si>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</si>
  <si>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</si>
  <si>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</si>
  <si>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</si>
  <si>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</si>
  <si>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</si>
  <si>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</si>
  <si>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</si>
  <si>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</si>
  <si>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</si>
  <si>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</si>
  <si>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</si>
  <si>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</si>
  <si>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</si>
  <si>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</si>
  <si>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</si>
  <si>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</si>
  <si>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</si>
  <si>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</si>
  <si>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</si>
  <si>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</si>
  <si>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</si>
  <si>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</si>
  <si>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</si>
  <si>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</si>
  <si>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</si>
  <si>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</si>
  <si>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%Time</t>
  </si>
  <si>
    <t>Cost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</si>
  <si>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</si>
  <si>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</si>
  <si>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</si>
  <si>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</si>
  <si>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</si>
  <si>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</si>
  <si>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</si>
  <si>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</si>
  <si>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</si>
  <si>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</si>
  <si>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</si>
  <si>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</si>
  <si>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</si>
  <si>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</si>
  <si>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</si>
  <si>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</si>
  <si>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</si>
  <si>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</si>
  <si>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</si>
  <si>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</si>
  <si>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</si>
  <si>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</si>
  <si>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</si>
  <si>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</si>
  <si>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</si>
  <si>
    <t xml:space="preserve">DHW </t>
  </si>
  <si>
    <t>Time slots</t>
  </si>
  <si>
    <t>Time Tot</t>
  </si>
  <si>
    <t>Slot time %</t>
  </si>
  <si>
    <t>Valves</t>
  </si>
  <si>
    <t>Knob steps</t>
  </si>
  <si>
    <t>Knob ADC</t>
  </si>
  <si>
    <t>Step value</t>
  </si>
  <si>
    <t>Knob step 1</t>
  </si>
  <si>
    <t>Knob step 2</t>
  </si>
  <si>
    <t>Knob step 4</t>
  </si>
  <si>
    <t>Knob step 5</t>
  </si>
  <si>
    <t>Knob step 6</t>
  </si>
  <si>
    <t>Knob step 7</t>
  </si>
  <si>
    <t>Knob step 8</t>
  </si>
  <si>
    <t>Knob step 9</t>
  </si>
  <si>
    <t>Knob step 10</t>
  </si>
  <si>
    <t>Knob step 11</t>
  </si>
  <si>
    <t>Min Kcal/h</t>
  </si>
  <si>
    <t>Max Kcal/h</t>
  </si>
  <si>
    <t>Sum</t>
  </si>
  <si>
    <t>Heat Level</t>
  </si>
  <si>
    <t>V-1</t>
  </si>
  <si>
    <t>V-2</t>
  </si>
  <si>
    <t>V-3</t>
  </si>
  <si>
    <t>G20_m3</t>
  </si>
  <si>
    <t>String</t>
  </si>
  <si>
    <t>Knob step 0</t>
  </si>
  <si>
    <t>Knob step 3</t>
  </si>
  <si>
    <t>ch_water_overheat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</si>
</sst>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3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9" fontId="0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12" borderId="12" xfId="0" applyFill="1" applyBorder="1"/>
    <xf numFmtId="0" fontId="0" fillId="12" borderId="13" xfId="0" applyFill="1" applyBorder="1"/>
    <xf numFmtId="0" fontId="0" fillId="13" borderId="1" xfId="0" applyFill="1" applyBorder="1"/>
    <xf numFmtId="0" fontId="0" fillId="13" borderId="14" xfId="0" applyFill="1" applyBorder="1"/>
    <xf numFmtId="0" fontId="0" fillId="8" borderId="16" xfId="0" applyFill="1" applyBorder="1"/>
    <xf numFmtId="0" fontId="0" fillId="12" borderId="17" xfId="0" applyFill="1" applyBorder="1"/>
    <xf numFmtId="0" fontId="0" fillId="13" borderId="5" xfId="0" applyFill="1" applyBorder="1"/>
    <xf numFmtId="0" fontId="0" fillId="8" borderId="18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3" borderId="1" xfId="0" applyNumberFormat="1" applyFill="1" applyBorder="1"/>
    <xf numFmtId="2" fontId="0" fillId="13" borderId="14" xfId="0" applyNumberFormat="1" applyFill="1" applyBorder="1"/>
    <xf numFmtId="0" fontId="0" fillId="2" borderId="15" xfId="0" applyFill="1" applyBorder="1"/>
    <xf numFmtId="1" fontId="0" fillId="2" borderId="15" xfId="0" applyNumberFormat="1" applyFill="1" applyBorder="1"/>
    <xf numFmtId="1" fontId="0" fillId="14" borderId="0" xfId="0" applyNumberFormat="1" applyFill="1" applyAlignment="1">
      <alignment horizontal="center"/>
    </xf>
    <xf numFmtId="9" fontId="0" fillId="0" borderId="0" xfId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166" fontId="0" fillId="0" borderId="0" xfId="1" applyNumberFormat="1" applyFont="1" applyAlignment="1">
      <alignment horizontal="center"/>
    </xf>
    <xf numFmtId="3" fontId="0" fillId="14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9" fontId="1" fillId="0" borderId="4" xfId="1" applyFont="1" applyBorder="1"/>
    <xf numFmtId="167" fontId="1" fillId="0" borderId="5" xfId="0" applyNumberFormat="1" applyFont="1" applyBorder="1"/>
    <xf numFmtId="0" fontId="12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1" fontId="0" fillId="0" borderId="0" xfId="0" applyNumberFormat="1" applyFill="1" applyAlignment="1">
      <alignment horizontal="center"/>
    </xf>
    <xf numFmtId="166" fontId="0" fillId="0" borderId="0" xfId="1" applyNumberFormat="1" applyFont="1" applyFill="1" applyAlignment="1"/>
    <xf numFmtId="0" fontId="16" fillId="0" borderId="0" xfId="0" applyFont="1" applyFill="1"/>
    <xf numFmtId="1" fontId="16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6" fontId="16" fillId="0" borderId="0" xfId="1" applyNumberFormat="1" applyFont="1" applyFill="1" applyAlignment="1"/>
    <xf numFmtId="0" fontId="15" fillId="16" borderId="0" xfId="0" applyFont="1" applyFill="1"/>
    <xf numFmtId="0" fontId="15" fillId="16" borderId="0" xfId="0" applyFont="1" applyFill="1" applyAlignment="1">
      <alignment horizontal="right"/>
    </xf>
    <xf numFmtId="0" fontId="15" fillId="16" borderId="0" xfId="0" quotePrefix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>
          <bgColor theme="0" tint="-0.34998626667073579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67" t="s">
        <v>3</v>
      </c>
      <c r="C4" s="168"/>
      <c r="D4" s="167" t="s">
        <v>4</v>
      </c>
      <c r="E4" s="168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5">
        <f>(M5/$D$30)-1</f>
        <v>-9.1886608015640303E-2</v>
      </c>
      <c r="P5" s="95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5">
        <f t="shared" ref="O6:O22" si="5">(M6/$D$30)-1</f>
        <v>-0.15053763440860213</v>
      </c>
      <c r="P6" s="95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5">
        <f t="shared" si="5"/>
        <v>-0.23167155425219943</v>
      </c>
      <c r="P7" s="95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5">
        <f t="shared" si="5"/>
        <v>-0.33040078201368528</v>
      </c>
      <c r="P8" s="95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5">
        <f t="shared" si="5"/>
        <v>-0.43988269794721413</v>
      </c>
      <c r="P9" s="95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96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5">
        <f t="shared" si="5"/>
        <v>-0.49560117302052786</v>
      </c>
      <c r="P10" s="95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5">
        <f t="shared" si="5"/>
        <v>-0.54936461388074287</v>
      </c>
      <c r="P11" s="95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5">
        <f t="shared" si="5"/>
        <v>-0.64907135874877808</v>
      </c>
      <c r="P12" s="95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5">
        <f t="shared" si="5"/>
        <v>-0.73216031280547411</v>
      </c>
      <c r="P13" s="95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5">
        <f t="shared" si="5"/>
        <v>-0.79765395894428148</v>
      </c>
      <c r="P14" s="95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5">
        <f t="shared" si="5"/>
        <v>-0.84848484848484851</v>
      </c>
      <c r="P15" s="95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5">
        <f t="shared" si="5"/>
        <v>-0.88660801564027369</v>
      </c>
      <c r="P16" s="95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5">
        <f t="shared" si="5"/>
        <v>-0.90224828934506351</v>
      </c>
      <c r="P17" s="95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5">
        <f t="shared" si="5"/>
        <v>-0.91495601173020524</v>
      </c>
      <c r="P18" s="95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5">
        <f t="shared" si="5"/>
        <v>-0.93548387096774199</v>
      </c>
      <c r="P19" s="95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5">
        <f t="shared" si="5"/>
        <v>-0.95112414467253181</v>
      </c>
      <c r="P20" s="95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5">
        <f t="shared" si="5"/>
        <v>-0.96187683284457481</v>
      </c>
      <c r="P21" s="95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5">
        <f t="shared" si="5"/>
        <v>-0.96676441837732163</v>
      </c>
      <c r="P22" s="95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56</v>
      </c>
      <c r="C2" s="113" t="s">
        <v>13</v>
      </c>
      <c r="D2" s="113" t="s">
        <v>49</v>
      </c>
      <c r="F2" s="38" t="s">
        <v>46</v>
      </c>
      <c r="G2" s="38" t="s">
        <v>37</v>
      </c>
      <c r="H2" s="38" t="s">
        <v>34</v>
      </c>
      <c r="I2" s="38" t="s">
        <v>33</v>
      </c>
      <c r="J2" s="38" t="s">
        <v>44</v>
      </c>
      <c r="K2" s="38" t="s">
        <v>47</v>
      </c>
      <c r="L2" s="38" t="s">
        <v>45</v>
      </c>
      <c r="M2" s="113" t="s">
        <v>40</v>
      </c>
    </row>
    <row r="3" spans="2:13" x14ac:dyDescent="0.25">
      <c r="B3" s="35" t="s">
        <v>52</v>
      </c>
      <c r="C3" s="35">
        <v>560</v>
      </c>
      <c r="D3" s="123" t="s">
        <v>51</v>
      </c>
      <c r="F3" s="116">
        <v>1</v>
      </c>
      <c r="G3" s="117">
        <v>0</v>
      </c>
      <c r="H3" s="117">
        <v>0</v>
      </c>
      <c r="I3" s="117">
        <v>0.99990000000000001</v>
      </c>
      <c r="J3" s="117">
        <v>0.99990000000000001</v>
      </c>
      <c r="K3" s="118">
        <v>6999.3</v>
      </c>
      <c r="L3" s="119">
        <v>0.86991300000000005</v>
      </c>
      <c r="M3" s="120">
        <v>7000</v>
      </c>
    </row>
    <row r="4" spans="2:13" x14ac:dyDescent="0.25">
      <c r="B4" s="35" t="s">
        <v>55</v>
      </c>
      <c r="C4" s="35">
        <v>373</v>
      </c>
      <c r="D4" s="123" t="s">
        <v>57</v>
      </c>
      <c r="F4" s="29">
        <v>2</v>
      </c>
      <c r="G4" s="112">
        <v>0</v>
      </c>
      <c r="H4" s="112">
        <v>0.33329999999999999</v>
      </c>
      <c r="I4" s="112">
        <v>0.66659999999999997</v>
      </c>
      <c r="J4" s="112">
        <v>0.99990000000000001</v>
      </c>
      <c r="K4" s="105">
        <v>8665.7999999999993</v>
      </c>
      <c r="L4" s="83">
        <v>1.06656</v>
      </c>
      <c r="M4" s="121">
        <v>8500</v>
      </c>
    </row>
    <row r="5" spans="2:13" x14ac:dyDescent="0.25">
      <c r="B5" s="35" t="s">
        <v>53</v>
      </c>
      <c r="C5" s="35">
        <v>330</v>
      </c>
      <c r="D5" s="123" t="s">
        <v>54</v>
      </c>
      <c r="F5" s="29">
        <v>3</v>
      </c>
      <c r="G5" s="112">
        <v>0</v>
      </c>
      <c r="H5" s="112">
        <v>0.66659999999999997</v>
      </c>
      <c r="I5" s="112">
        <v>0.33329999999999999</v>
      </c>
      <c r="J5" s="112">
        <v>0.99990000000000001</v>
      </c>
      <c r="K5" s="105">
        <v>10332.299999999999</v>
      </c>
      <c r="L5" s="83">
        <v>1.263207</v>
      </c>
      <c r="M5" s="121">
        <v>10000</v>
      </c>
    </row>
    <row r="6" spans="2:13" x14ac:dyDescent="0.25">
      <c r="F6" s="29">
        <v>4</v>
      </c>
      <c r="G6" s="112">
        <v>0.33329999999999999</v>
      </c>
      <c r="H6" s="112">
        <v>0</v>
      </c>
      <c r="I6" s="112">
        <v>0.66659999999999997</v>
      </c>
      <c r="J6" s="112">
        <v>0.99990000000000001</v>
      </c>
      <c r="K6" s="105">
        <v>11332.2</v>
      </c>
      <c r="L6" s="83">
        <v>1.3765290000000001</v>
      </c>
      <c r="M6" s="121">
        <v>11000</v>
      </c>
    </row>
    <row r="7" spans="2:13" x14ac:dyDescent="0.25">
      <c r="F7" s="116">
        <v>5</v>
      </c>
      <c r="G7" s="117">
        <v>0</v>
      </c>
      <c r="H7" s="117">
        <v>0.99990000000000001</v>
      </c>
      <c r="I7" s="117">
        <v>0</v>
      </c>
      <c r="J7" s="117">
        <v>0.99990000000000001</v>
      </c>
      <c r="K7" s="118">
        <v>11998.8</v>
      </c>
      <c r="L7" s="119">
        <v>1.459854</v>
      </c>
      <c r="M7" s="120">
        <v>12000</v>
      </c>
    </row>
    <row r="8" spans="2:13" x14ac:dyDescent="0.25">
      <c r="F8" s="29">
        <v>6</v>
      </c>
      <c r="G8" s="112">
        <v>0.33329999999999999</v>
      </c>
      <c r="H8" s="112">
        <v>0.33329999999999999</v>
      </c>
      <c r="I8" s="112">
        <v>0.33329999999999999</v>
      </c>
      <c r="J8" s="112">
        <v>0.99990000000000001</v>
      </c>
      <c r="K8" s="105">
        <v>12998.7</v>
      </c>
      <c r="L8" s="83">
        <v>1.5731760000000001</v>
      </c>
      <c r="M8" s="121">
        <v>13000</v>
      </c>
    </row>
    <row r="9" spans="2:13" x14ac:dyDescent="0.25">
      <c r="F9" s="29">
        <v>7</v>
      </c>
      <c r="G9" s="112">
        <v>0.33329999999999999</v>
      </c>
      <c r="H9" s="112">
        <v>0.66659999999999997</v>
      </c>
      <c r="I9" s="112">
        <v>0</v>
      </c>
      <c r="J9" s="112">
        <v>0.99990000000000001</v>
      </c>
      <c r="K9" s="105">
        <v>14665.2</v>
      </c>
      <c r="L9" s="83">
        <v>1.7698229999999999</v>
      </c>
      <c r="M9" s="121">
        <v>14500</v>
      </c>
    </row>
    <row r="10" spans="2:13" x14ac:dyDescent="0.25">
      <c r="F10" s="29">
        <v>8</v>
      </c>
      <c r="G10" s="112">
        <v>0.66659999999999997</v>
      </c>
      <c r="H10" s="112">
        <v>0</v>
      </c>
      <c r="I10" s="112">
        <v>0.33329999999999999</v>
      </c>
      <c r="J10" s="112">
        <v>0.99990000000000001</v>
      </c>
      <c r="K10" s="105">
        <v>15665.1</v>
      </c>
      <c r="L10" s="83">
        <v>1.8831450000000001</v>
      </c>
      <c r="M10" s="121">
        <v>15500</v>
      </c>
    </row>
    <row r="11" spans="2:13" x14ac:dyDescent="0.25">
      <c r="F11" s="29">
        <v>9</v>
      </c>
      <c r="G11" s="112">
        <v>0.66659999999999997</v>
      </c>
      <c r="H11" s="112">
        <v>0.33329999999999999</v>
      </c>
      <c r="I11" s="112">
        <v>0</v>
      </c>
      <c r="J11" s="112">
        <v>0.99990000000000001</v>
      </c>
      <c r="K11" s="105">
        <v>17331.599999999999</v>
      </c>
      <c r="L11" s="83">
        <v>2.0797919999999999</v>
      </c>
      <c r="M11" s="121">
        <v>17000</v>
      </c>
    </row>
    <row r="12" spans="2:13" x14ac:dyDescent="0.25">
      <c r="B12" t="s">
        <v>58</v>
      </c>
      <c r="C12">
        <v>360</v>
      </c>
      <c r="D12" s="122" t="s">
        <v>59</v>
      </c>
      <c r="F12" s="116">
        <v>10</v>
      </c>
      <c r="G12" s="117">
        <v>0.99990000000000001</v>
      </c>
      <c r="H12" s="117">
        <v>0</v>
      </c>
      <c r="I12" s="117">
        <v>0</v>
      </c>
      <c r="J12" s="117">
        <v>0.99990000000000001</v>
      </c>
      <c r="K12" s="118">
        <v>19998</v>
      </c>
      <c r="L12" s="119">
        <v>2.389761</v>
      </c>
      <c r="M12" s="120">
        <v>20000</v>
      </c>
    </row>
    <row r="14" spans="2:13" x14ac:dyDescent="0.25">
      <c r="F14" t="s">
        <v>48</v>
      </c>
    </row>
    <row r="16" spans="2:13" x14ac:dyDescent="0.25">
      <c r="F16" s="122" t="s">
        <v>49</v>
      </c>
      <c r="G16" s="122" t="s">
        <v>50</v>
      </c>
      <c r="H16" s="122" t="s">
        <v>21</v>
      </c>
      <c r="I16" s="122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8" priority="2" operator="equal">
      <formula>0</formula>
    </cfRule>
  </conditionalFormatting>
  <conditionalFormatting sqref="K3:K11">
    <cfRule type="cellIs" dxfId="7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69" t="s">
        <v>3</v>
      </c>
      <c r="C4" s="170"/>
      <c r="D4" s="169" t="s">
        <v>4</v>
      </c>
      <c r="E4" s="170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71" t="s">
        <v>10</v>
      </c>
      <c r="H21" s="172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60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63</v>
      </c>
      <c r="E2" s="113" t="s">
        <v>13</v>
      </c>
      <c r="F2" s="113" t="s">
        <v>49</v>
      </c>
    </row>
    <row r="3" spans="2:6" x14ac:dyDescent="0.25">
      <c r="E3">
        <v>317</v>
      </c>
      <c r="F3">
        <v>45</v>
      </c>
    </row>
    <row r="4" spans="2:6" x14ac:dyDescent="0.25">
      <c r="B4" s="134" t="s">
        <v>39</v>
      </c>
      <c r="C4" s="134" t="s">
        <v>65</v>
      </c>
      <c r="E4">
        <v>318</v>
      </c>
    </row>
    <row r="5" spans="2:6" x14ac:dyDescent="0.25">
      <c r="B5" s="135" t="s">
        <v>33</v>
      </c>
      <c r="C5" s="135">
        <v>6000</v>
      </c>
      <c r="E5">
        <v>319</v>
      </c>
    </row>
    <row r="6" spans="2:6" x14ac:dyDescent="0.25">
      <c r="B6" s="135" t="s">
        <v>34</v>
      </c>
      <c r="C6" s="135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33"/>
      <c r="E10" s="133">
        <v>324</v>
      </c>
    </row>
    <row r="11" spans="2:6" x14ac:dyDescent="0.25">
      <c r="C11" s="133"/>
      <c r="E11" s="133">
        <v>325</v>
      </c>
      <c r="F11">
        <v>44</v>
      </c>
    </row>
    <row r="12" spans="2:6" x14ac:dyDescent="0.25">
      <c r="C12" s="133" t="s">
        <v>64</v>
      </c>
      <c r="E12" s="133">
        <v>326</v>
      </c>
    </row>
    <row r="13" spans="2:6" x14ac:dyDescent="0.25">
      <c r="C13" s="133"/>
      <c r="E13" s="133">
        <v>327</v>
      </c>
    </row>
    <row r="14" spans="2:6" x14ac:dyDescent="0.25">
      <c r="C14" s="133"/>
      <c r="E14" s="133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abSelected="1" workbookViewId="0"/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3" t="s">
        <v>3</v>
      </c>
      <c r="K2" s="94" t="s">
        <v>13</v>
      </c>
      <c r="L2" s="94" t="s">
        <v>29</v>
      </c>
      <c r="M2" s="94" t="s">
        <v>30</v>
      </c>
      <c r="N2" s="94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08">
        <f>C3</f>
        <v>-20</v>
      </c>
      <c r="K3" s="108">
        <f>G3</f>
        <v>929</v>
      </c>
      <c r="L3" s="108">
        <f>ROUND(K3,0)</f>
        <v>929</v>
      </c>
      <c r="M3" s="109" t="s">
        <v>31</v>
      </c>
      <c r="N3" s="109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2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08">
        <f>C4</f>
        <v>-10</v>
      </c>
      <c r="K13" s="108">
        <f>G4</f>
        <v>869</v>
      </c>
      <c r="L13" s="108">
        <f t="shared" si="4"/>
        <v>869</v>
      </c>
      <c r="M13" s="110" t="str">
        <f t="shared" si="5"/>
        <v>OK</v>
      </c>
      <c r="N13" s="111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08">
        <f>C5</f>
        <v>0</v>
      </c>
      <c r="K23" s="108">
        <f>G5</f>
        <v>786</v>
      </c>
      <c r="L23" s="108">
        <f t="shared" si="4"/>
        <v>786</v>
      </c>
      <c r="M23" s="110" t="str">
        <f t="shared" si="5"/>
        <v>OK</v>
      </c>
      <c r="N23" s="111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08">
        <f>C6</f>
        <v>10</v>
      </c>
      <c r="K33" s="108">
        <f>G6</f>
        <v>685</v>
      </c>
      <c r="L33" s="108">
        <f t="shared" si="4"/>
        <v>685</v>
      </c>
      <c r="M33" s="110" t="str">
        <f t="shared" si="5"/>
        <v>OK</v>
      </c>
      <c r="N33" s="111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08">
        <f>C7</f>
        <v>20</v>
      </c>
      <c r="K43" s="108">
        <f>G7</f>
        <v>573</v>
      </c>
      <c r="L43" s="108">
        <f t="shared" si="4"/>
        <v>573</v>
      </c>
      <c r="M43" s="110" t="str">
        <f t="shared" si="5"/>
        <v>OK</v>
      </c>
      <c r="N43" s="111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08">
        <f>C8</f>
        <v>25</v>
      </c>
      <c r="K48" s="108">
        <f>G8</f>
        <v>516</v>
      </c>
      <c r="L48" s="108">
        <f t="shared" si="4"/>
        <v>516</v>
      </c>
      <c r="M48" s="110" t="str">
        <f t="shared" si="5"/>
        <v>OK</v>
      </c>
      <c r="N48" s="111">
        <f t="shared" si="6"/>
        <v>-2.0872865275142316E-2</v>
      </c>
    </row>
    <row r="49" spans="7:16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6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6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6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6" x14ac:dyDescent="0.25">
      <c r="J53" s="108">
        <f>C9</f>
        <v>30</v>
      </c>
      <c r="K53" s="108">
        <f>G9</f>
        <v>461</v>
      </c>
      <c r="L53" s="108">
        <f t="shared" si="4"/>
        <v>461</v>
      </c>
      <c r="M53" s="110" t="str">
        <f t="shared" si="5"/>
        <v>OK</v>
      </c>
      <c r="N53" s="111">
        <f t="shared" si="6"/>
        <v>-2.3305084745762761E-2</v>
      </c>
    </row>
    <row r="54" spans="7:16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6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6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6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6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6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6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6" x14ac:dyDescent="0.25">
      <c r="G61" s="35" t="s">
        <v>62</v>
      </c>
      <c r="H61" s="35"/>
      <c r="I61" s="35"/>
      <c r="J61" s="125">
        <v>38</v>
      </c>
      <c r="K61" s="124">
        <f t="shared" si="11"/>
        <v>379.40000000000009</v>
      </c>
      <c r="L61" s="124">
        <f t="shared" si="4"/>
        <v>379</v>
      </c>
      <c r="M61" s="126" t="str">
        <f t="shared" si="5"/>
        <v>OK</v>
      </c>
      <c r="N61" s="127">
        <f t="shared" si="6"/>
        <v>-2.8205128205128216E-2</v>
      </c>
      <c r="P61" s="173" t="s">
        <v>32</v>
      </c>
    </row>
    <row r="62" spans="7:16" x14ac:dyDescent="0.25">
      <c r="J62" s="97">
        <v>39</v>
      </c>
      <c r="K62" s="98">
        <f t="shared" si="11"/>
        <v>369.2000000000001</v>
      </c>
      <c r="L62" s="98">
        <f t="shared" si="4"/>
        <v>369</v>
      </c>
      <c r="M62" s="99" t="str">
        <f t="shared" si="5"/>
        <v>OK</v>
      </c>
      <c r="N62" s="100">
        <f t="shared" si="6"/>
        <v>-2.6385224274406371E-2</v>
      </c>
      <c r="P62" s="173"/>
    </row>
    <row r="63" spans="7:16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  <c r="P63" s="173"/>
    </row>
    <row r="64" spans="7:16" x14ac:dyDescent="0.25">
      <c r="J64" s="97">
        <v>41</v>
      </c>
      <c r="K64" s="98">
        <f t="shared" ref="K64:K72" si="12">K63-($H$11/$B$11)</f>
        <v>350.5</v>
      </c>
      <c r="L64" s="98">
        <f t="shared" si="4"/>
        <v>351</v>
      </c>
      <c r="M64" s="99" t="str">
        <f t="shared" si="5"/>
        <v>OK</v>
      </c>
      <c r="N64" s="100">
        <f t="shared" si="6"/>
        <v>-2.2284122562674091E-2</v>
      </c>
      <c r="P64" s="173"/>
    </row>
    <row r="65" spans="7:24" ht="15" customHeight="1" x14ac:dyDescent="0.25">
      <c r="J65" s="97">
        <v>42</v>
      </c>
      <c r="K65" s="98">
        <f t="shared" si="12"/>
        <v>342</v>
      </c>
      <c r="L65" s="98">
        <f t="shared" si="4"/>
        <v>342</v>
      </c>
      <c r="M65" s="99" t="str">
        <f t="shared" si="5"/>
        <v>OK</v>
      </c>
      <c r="N65" s="100">
        <f t="shared" si="6"/>
        <v>-2.5641025641025661E-2</v>
      </c>
      <c r="P65" s="173"/>
    </row>
    <row r="66" spans="7:24" ht="15" customHeight="1" x14ac:dyDescent="0.25">
      <c r="J66" s="97">
        <v>43</v>
      </c>
      <c r="K66" s="98">
        <f t="shared" si="12"/>
        <v>333.5</v>
      </c>
      <c r="L66" s="98">
        <f t="shared" si="4"/>
        <v>334</v>
      </c>
      <c r="M66" s="99" t="str">
        <f t="shared" si="5"/>
        <v>OK</v>
      </c>
      <c r="N66" s="100">
        <f t="shared" si="6"/>
        <v>-2.3391812865497075E-2</v>
      </c>
      <c r="P66" s="173"/>
    </row>
    <row r="67" spans="7:24" x14ac:dyDescent="0.25">
      <c r="J67" s="97">
        <v>44</v>
      </c>
      <c r="K67" s="98">
        <f t="shared" si="12"/>
        <v>325</v>
      </c>
      <c r="L67" s="98">
        <f t="shared" si="4"/>
        <v>325</v>
      </c>
      <c r="M67" s="99" t="str">
        <f t="shared" si="5"/>
        <v>OK</v>
      </c>
      <c r="N67" s="100">
        <f t="shared" si="6"/>
        <v>-2.6946107784431184E-2</v>
      </c>
      <c r="P67" s="173"/>
    </row>
    <row r="68" spans="7:24" x14ac:dyDescent="0.25">
      <c r="J68" s="97">
        <v>45</v>
      </c>
      <c r="K68" s="98">
        <f t="shared" si="12"/>
        <v>316.5</v>
      </c>
      <c r="L68" s="98">
        <f t="shared" si="4"/>
        <v>317</v>
      </c>
      <c r="M68" s="99" t="str">
        <f t="shared" si="5"/>
        <v>OK</v>
      </c>
      <c r="N68" s="100">
        <f t="shared" si="6"/>
        <v>-2.4615384615384595E-2</v>
      </c>
      <c r="P68" s="173"/>
    </row>
    <row r="69" spans="7:24" x14ac:dyDescent="0.25">
      <c r="J69" s="97">
        <v>46</v>
      </c>
      <c r="K69" s="98">
        <f t="shared" si="12"/>
        <v>308</v>
      </c>
      <c r="L69" s="98">
        <f t="shared" ref="L69:L132" si="13">ROUND(K69,0)</f>
        <v>308</v>
      </c>
      <c r="M69" s="99" t="str">
        <f t="shared" ref="M69:M132" si="14">IF(L69&lt;L68,"OK","Too small")</f>
        <v>OK</v>
      </c>
      <c r="N69" s="100">
        <f t="shared" ref="N69:N132" si="15">(L69/L68)-1</f>
        <v>-2.8391167192429068E-2</v>
      </c>
      <c r="P69" s="173"/>
    </row>
    <row r="70" spans="7:24" x14ac:dyDescent="0.25">
      <c r="J70" s="97">
        <v>47</v>
      </c>
      <c r="K70" s="98">
        <f t="shared" si="12"/>
        <v>299.5</v>
      </c>
      <c r="L70" s="98">
        <f t="shared" si="13"/>
        <v>300</v>
      </c>
      <c r="M70" s="99" t="str">
        <f t="shared" si="14"/>
        <v>OK</v>
      </c>
      <c r="N70" s="100">
        <f t="shared" si="15"/>
        <v>-2.5974025974025983E-2</v>
      </c>
      <c r="P70" s="173"/>
    </row>
    <row r="71" spans="7:24" x14ac:dyDescent="0.25">
      <c r="J71" s="97">
        <v>48</v>
      </c>
      <c r="K71" s="98">
        <f t="shared" si="12"/>
        <v>291</v>
      </c>
      <c r="L71" s="98">
        <f t="shared" si="13"/>
        <v>291</v>
      </c>
      <c r="M71" s="99" t="str">
        <f t="shared" si="14"/>
        <v>OK</v>
      </c>
      <c r="N71" s="100">
        <f t="shared" si="15"/>
        <v>-3.0000000000000027E-2</v>
      </c>
      <c r="P71" s="173"/>
    </row>
    <row r="72" spans="7:24" x14ac:dyDescent="0.25">
      <c r="J72" s="97">
        <v>49</v>
      </c>
      <c r="K72" s="98">
        <f t="shared" si="12"/>
        <v>282.5</v>
      </c>
      <c r="L72" s="98">
        <f t="shared" si="13"/>
        <v>283</v>
      </c>
      <c r="M72" s="99" t="str">
        <f t="shared" si="14"/>
        <v>OK</v>
      </c>
      <c r="N72" s="100">
        <f t="shared" si="15"/>
        <v>-2.7491408934707917E-2</v>
      </c>
      <c r="P72" s="173"/>
      <c r="V72" t="s">
        <v>13</v>
      </c>
      <c r="W72" t="s">
        <v>20</v>
      </c>
    </row>
    <row r="73" spans="7:24" x14ac:dyDescent="0.25">
      <c r="J73" s="101">
        <f>C11</f>
        <v>50</v>
      </c>
      <c r="K73" s="101">
        <f>G11</f>
        <v>274</v>
      </c>
      <c r="L73" s="101">
        <f t="shared" si="13"/>
        <v>274</v>
      </c>
      <c r="M73" s="102" t="str">
        <f t="shared" si="14"/>
        <v>OK</v>
      </c>
      <c r="N73" s="103">
        <f t="shared" si="15"/>
        <v>-3.180212014134276E-2</v>
      </c>
      <c r="P73" s="173"/>
      <c r="V73">
        <v>257</v>
      </c>
      <c r="W73">
        <v>47</v>
      </c>
      <c r="X73" t="s">
        <v>1</v>
      </c>
    </row>
    <row r="74" spans="7:24" x14ac:dyDescent="0.25">
      <c r="J74" s="97">
        <v>51</v>
      </c>
      <c r="K74" s="98">
        <f t="shared" ref="K74:K82" si="16">K73-($H$12/$B$12)</f>
        <v>267.3</v>
      </c>
      <c r="L74" s="98">
        <f t="shared" si="13"/>
        <v>267</v>
      </c>
      <c r="M74" s="99" t="str">
        <f t="shared" si="14"/>
        <v>OK</v>
      </c>
      <c r="N74" s="100">
        <f t="shared" si="15"/>
        <v>-2.5547445255474477E-2</v>
      </c>
      <c r="P74" s="173"/>
    </row>
    <row r="75" spans="7:24" x14ac:dyDescent="0.25">
      <c r="J75" s="97">
        <v>52</v>
      </c>
      <c r="K75" s="98">
        <f t="shared" si="16"/>
        <v>260.60000000000002</v>
      </c>
      <c r="L75" s="98">
        <f t="shared" si="13"/>
        <v>261</v>
      </c>
      <c r="M75" s="99" t="str">
        <f t="shared" si="14"/>
        <v>OK</v>
      </c>
      <c r="N75" s="100">
        <f t="shared" si="15"/>
        <v>-2.2471910112359605E-2</v>
      </c>
      <c r="P75" s="173"/>
      <c r="V75">
        <v>300</v>
      </c>
      <c r="W75">
        <v>42</v>
      </c>
      <c r="X75" t="s">
        <v>1</v>
      </c>
    </row>
    <row r="76" spans="7:24" x14ac:dyDescent="0.25">
      <c r="J76" s="97">
        <v>53</v>
      </c>
      <c r="K76" s="98">
        <f t="shared" si="16"/>
        <v>253.90000000000003</v>
      </c>
      <c r="L76" s="98">
        <f t="shared" si="13"/>
        <v>254</v>
      </c>
      <c r="M76" s="99" t="str">
        <f t="shared" si="14"/>
        <v>OK</v>
      </c>
      <c r="N76" s="100">
        <f t="shared" si="15"/>
        <v>-2.6819923371647514E-2</v>
      </c>
      <c r="P76" s="173"/>
    </row>
    <row r="77" spans="7:24" x14ac:dyDescent="0.25">
      <c r="J77" s="97">
        <v>54</v>
      </c>
      <c r="K77" s="98">
        <f t="shared" si="16"/>
        <v>247.20000000000005</v>
      </c>
      <c r="L77" s="98">
        <f t="shared" si="13"/>
        <v>247</v>
      </c>
      <c r="M77" s="99" t="str">
        <f t="shared" si="14"/>
        <v>OK</v>
      </c>
      <c r="N77" s="100">
        <f t="shared" si="15"/>
        <v>-2.7559055118110187E-2</v>
      </c>
      <c r="P77" s="173"/>
    </row>
    <row r="78" spans="7:24" x14ac:dyDescent="0.25">
      <c r="G78" s="128" t="s">
        <v>61</v>
      </c>
      <c r="H78" s="128"/>
      <c r="I78" s="128"/>
      <c r="J78" s="129">
        <v>55</v>
      </c>
      <c r="K78" s="130">
        <f t="shared" si="16"/>
        <v>240.50000000000006</v>
      </c>
      <c r="L78" s="130">
        <f t="shared" si="13"/>
        <v>241</v>
      </c>
      <c r="M78" s="131" t="str">
        <f t="shared" si="14"/>
        <v>OK</v>
      </c>
      <c r="N78" s="132">
        <f t="shared" si="15"/>
        <v>-2.4291497975708509E-2</v>
      </c>
      <c r="P78" s="173"/>
    </row>
    <row r="79" spans="7:24" x14ac:dyDescent="0.25">
      <c r="J79" s="85">
        <v>56</v>
      </c>
      <c r="K79" s="86">
        <f t="shared" si="16"/>
        <v>233.80000000000007</v>
      </c>
      <c r="L79" s="86">
        <f t="shared" si="13"/>
        <v>234</v>
      </c>
      <c r="M79" s="174" t="str">
        <f t="shared" si="14"/>
        <v>OK</v>
      </c>
      <c r="N79" s="175">
        <f t="shared" si="15"/>
        <v>-2.9045643153526979E-2</v>
      </c>
      <c r="P79" s="137"/>
    </row>
    <row r="80" spans="7:24" x14ac:dyDescent="0.25">
      <c r="J80" s="85">
        <v>57</v>
      </c>
      <c r="K80" s="86">
        <f t="shared" si="16"/>
        <v>227.10000000000008</v>
      </c>
      <c r="L80" s="86">
        <f t="shared" si="13"/>
        <v>227</v>
      </c>
      <c r="M80" s="174" t="str">
        <f t="shared" si="14"/>
        <v>OK</v>
      </c>
      <c r="N80" s="175">
        <f t="shared" si="15"/>
        <v>-2.9914529914529919E-2</v>
      </c>
      <c r="P80" s="137"/>
    </row>
    <row r="81" spans="6:16" x14ac:dyDescent="0.25">
      <c r="J81" s="85">
        <v>58</v>
      </c>
      <c r="K81" s="86">
        <f t="shared" si="16"/>
        <v>220.40000000000009</v>
      </c>
      <c r="L81" s="86">
        <f t="shared" si="13"/>
        <v>220</v>
      </c>
      <c r="M81" s="174" t="str">
        <f t="shared" si="14"/>
        <v>OK</v>
      </c>
      <c r="N81" s="175">
        <f t="shared" si="15"/>
        <v>-3.0837004405286361E-2</v>
      </c>
      <c r="P81" s="137"/>
    </row>
    <row r="82" spans="6:16" x14ac:dyDescent="0.25">
      <c r="J82" s="85">
        <v>59</v>
      </c>
      <c r="K82" s="86">
        <f t="shared" si="16"/>
        <v>213.7000000000001</v>
      </c>
      <c r="L82" s="86">
        <f t="shared" si="13"/>
        <v>214</v>
      </c>
      <c r="M82" s="174" t="str">
        <f t="shared" si="14"/>
        <v>OK</v>
      </c>
      <c r="N82" s="175">
        <f t="shared" si="15"/>
        <v>-2.7272727272727226E-2</v>
      </c>
      <c r="P82" s="137"/>
    </row>
    <row r="83" spans="6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6:16" x14ac:dyDescent="0.25">
      <c r="J84" s="85">
        <v>61</v>
      </c>
      <c r="K84" s="86">
        <f>K83-($H$13/$B$13)</f>
        <v>201.8</v>
      </c>
      <c r="L84" s="86">
        <f t="shared" si="13"/>
        <v>202</v>
      </c>
      <c r="M84" s="174" t="str">
        <f t="shared" si="14"/>
        <v>OK</v>
      </c>
      <c r="N84" s="175">
        <f t="shared" si="15"/>
        <v>-2.4154589371980673E-2</v>
      </c>
    </row>
    <row r="85" spans="6:16" x14ac:dyDescent="0.25">
      <c r="J85" s="85">
        <v>62</v>
      </c>
      <c r="K85" s="86">
        <f t="shared" ref="K85:K92" si="17">K84-($H$13/$B$13)</f>
        <v>196.60000000000002</v>
      </c>
      <c r="L85" s="86">
        <f t="shared" si="13"/>
        <v>197</v>
      </c>
      <c r="M85" s="174" t="str">
        <f t="shared" si="14"/>
        <v>OK</v>
      </c>
      <c r="N85" s="175">
        <f t="shared" si="15"/>
        <v>-2.4752475247524774E-2</v>
      </c>
    </row>
    <row r="86" spans="6:16" x14ac:dyDescent="0.25">
      <c r="J86" s="85">
        <v>63</v>
      </c>
      <c r="K86" s="86">
        <f t="shared" si="17"/>
        <v>191.40000000000003</v>
      </c>
      <c r="L86" s="86">
        <f t="shared" si="13"/>
        <v>191</v>
      </c>
      <c r="M86" s="174" t="str">
        <f t="shared" si="14"/>
        <v>OK</v>
      </c>
      <c r="N86" s="175">
        <f t="shared" si="15"/>
        <v>-3.0456852791878153E-2</v>
      </c>
    </row>
    <row r="87" spans="6:16" x14ac:dyDescent="0.25">
      <c r="J87" s="85">
        <v>64</v>
      </c>
      <c r="K87" s="86">
        <f t="shared" si="17"/>
        <v>186.20000000000005</v>
      </c>
      <c r="L87" s="86">
        <f t="shared" si="13"/>
        <v>186</v>
      </c>
      <c r="M87" s="174" t="str">
        <f t="shared" si="14"/>
        <v>OK</v>
      </c>
      <c r="N87" s="175">
        <f t="shared" si="15"/>
        <v>-2.6178010471204161E-2</v>
      </c>
    </row>
    <row r="88" spans="6:16" x14ac:dyDescent="0.25">
      <c r="J88" s="85">
        <v>65</v>
      </c>
      <c r="K88" s="86">
        <f t="shared" si="17"/>
        <v>181.00000000000006</v>
      </c>
      <c r="L88" s="86">
        <f t="shared" si="13"/>
        <v>181</v>
      </c>
      <c r="M88" s="174" t="str">
        <f t="shared" si="14"/>
        <v>OK</v>
      </c>
      <c r="N88" s="175">
        <f t="shared" si="15"/>
        <v>-2.6881720430107503E-2</v>
      </c>
    </row>
    <row r="89" spans="6:16" x14ac:dyDescent="0.25">
      <c r="F89" s="180"/>
      <c r="G89" s="181" t="s">
        <v>100</v>
      </c>
      <c r="H89" s="182" t="s">
        <v>18</v>
      </c>
      <c r="I89" s="137"/>
      <c r="J89" s="176">
        <v>66</v>
      </c>
      <c r="K89" s="177">
        <f t="shared" si="17"/>
        <v>175.80000000000007</v>
      </c>
      <c r="L89" s="177">
        <f t="shared" si="13"/>
        <v>176</v>
      </c>
      <c r="M89" s="178" t="str">
        <f t="shared" si="14"/>
        <v>OK</v>
      </c>
      <c r="N89" s="179">
        <f t="shared" si="15"/>
        <v>-2.7624309392265234E-2</v>
      </c>
    </row>
    <row r="90" spans="6:16" x14ac:dyDescent="0.25">
      <c r="J90" s="85">
        <v>67</v>
      </c>
      <c r="K90" s="86">
        <f t="shared" si="17"/>
        <v>170.60000000000008</v>
      </c>
      <c r="L90" s="86">
        <f t="shared" si="13"/>
        <v>171</v>
      </c>
      <c r="M90" s="174" t="str">
        <f t="shared" si="14"/>
        <v>OK</v>
      </c>
      <c r="N90" s="175">
        <f t="shared" si="15"/>
        <v>-2.8409090909090939E-2</v>
      </c>
    </row>
    <row r="91" spans="6:16" x14ac:dyDescent="0.25">
      <c r="J91" s="85">
        <v>68</v>
      </c>
      <c r="K91" s="86">
        <f t="shared" si="17"/>
        <v>165.40000000000009</v>
      </c>
      <c r="L91" s="86">
        <f t="shared" si="13"/>
        <v>165</v>
      </c>
      <c r="M91" s="174" t="str">
        <f t="shared" si="14"/>
        <v>OK</v>
      </c>
      <c r="N91" s="175">
        <f t="shared" si="15"/>
        <v>-3.5087719298245612E-2</v>
      </c>
    </row>
    <row r="92" spans="6:16" x14ac:dyDescent="0.25">
      <c r="J92" s="85">
        <v>69</v>
      </c>
      <c r="K92" s="86">
        <f t="shared" si="17"/>
        <v>160.2000000000001</v>
      </c>
      <c r="L92" s="86">
        <f t="shared" si="13"/>
        <v>160</v>
      </c>
      <c r="M92" s="174" t="str">
        <f t="shared" si="14"/>
        <v>OK</v>
      </c>
      <c r="N92" s="175">
        <f t="shared" si="15"/>
        <v>-3.0303030303030276E-2</v>
      </c>
    </row>
    <row r="93" spans="6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6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6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6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08">
        <f>C14</f>
        <v>80</v>
      </c>
      <c r="K103" s="108">
        <f>G14</f>
        <v>116</v>
      </c>
      <c r="L103" s="108">
        <f t="shared" si="13"/>
        <v>116</v>
      </c>
      <c r="M103" s="110" t="str">
        <f t="shared" si="14"/>
        <v>OK</v>
      </c>
      <c r="N103" s="111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08">
        <f>C15</f>
        <v>85</v>
      </c>
      <c r="K108" s="108">
        <f>G15</f>
        <v>100</v>
      </c>
      <c r="L108" s="108">
        <f t="shared" si="13"/>
        <v>100</v>
      </c>
      <c r="M108" s="110" t="str">
        <f t="shared" si="14"/>
        <v>OK</v>
      </c>
      <c r="N108" s="111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08">
        <f>C16</f>
        <v>90</v>
      </c>
      <c r="K113" s="108">
        <f>G16</f>
        <v>87</v>
      </c>
      <c r="L113" s="108">
        <f t="shared" si="13"/>
        <v>87</v>
      </c>
      <c r="M113" s="110" t="str">
        <f t="shared" si="14"/>
        <v>OK</v>
      </c>
      <c r="N113" s="111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08">
        <f>C17</f>
        <v>100</v>
      </c>
      <c r="K123" s="108">
        <f>G17</f>
        <v>66</v>
      </c>
      <c r="L123" s="108">
        <f t="shared" si="13"/>
        <v>66</v>
      </c>
      <c r="M123" s="110" t="str">
        <f t="shared" si="14"/>
        <v>OK</v>
      </c>
      <c r="N123" s="111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08">
        <f>C18</f>
        <v>110</v>
      </c>
      <c r="K133" s="108">
        <f>G18</f>
        <v>50</v>
      </c>
      <c r="L133" s="108">
        <f t="shared" ref="L133:L148" si="21">ROUND(K133,0)</f>
        <v>50</v>
      </c>
      <c r="M133" s="110" t="str">
        <f t="shared" ref="M133:M148" si="22">IF(L133&lt;L132,"OK","Too small")</f>
        <v>OK</v>
      </c>
      <c r="N133" s="111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08">
        <f>C19</f>
        <v>120</v>
      </c>
      <c r="K143" s="108">
        <f>G19</f>
        <v>39</v>
      </c>
      <c r="L143" s="108">
        <f t="shared" si="21"/>
        <v>39</v>
      </c>
      <c r="M143" s="110" t="str">
        <f t="shared" si="22"/>
        <v>OK</v>
      </c>
      <c r="N143" s="111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08">
        <f>C20</f>
        <v>125</v>
      </c>
      <c r="K148" s="108">
        <f>G20</f>
        <v>34</v>
      </c>
      <c r="L148" s="108">
        <f t="shared" si="21"/>
        <v>34</v>
      </c>
      <c r="M148" s="110" t="str">
        <f t="shared" si="22"/>
        <v>OK</v>
      </c>
      <c r="N148" s="111">
        <f t="shared" si="23"/>
        <v>-2.8571428571428581E-2</v>
      </c>
    </row>
  </sheetData>
  <mergeCells count="1">
    <mergeCell ref="P61:P78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06">
        <v>7000</v>
      </c>
      <c r="C4" s="107">
        <v>1</v>
      </c>
      <c r="D4" s="107">
        <v>0</v>
      </c>
      <c r="E4" s="107">
        <v>0</v>
      </c>
      <c r="F4" s="106">
        <f>(C4*$K$4)+(D4*$K$5)+(E4*$K$6)</f>
        <v>7000</v>
      </c>
      <c r="G4" s="107">
        <f>SUM(C4:E4)</f>
        <v>1</v>
      </c>
      <c r="J4" t="s">
        <v>33</v>
      </c>
      <c r="K4" s="105">
        <v>7000</v>
      </c>
      <c r="L4" s="104">
        <v>0.87</v>
      </c>
    </row>
    <row r="5" spans="2:12" x14ac:dyDescent="0.25">
      <c r="B5" s="106">
        <v>7500</v>
      </c>
      <c r="C5" s="107">
        <v>0.9</v>
      </c>
      <c r="D5" s="107">
        <v>0.1</v>
      </c>
      <c r="E5" s="107">
        <v>0</v>
      </c>
      <c r="F5" s="106">
        <f t="shared" ref="F5:F10" si="0">(C5*$K$4)+(D5*$K$5)+(E5*$K$6)</f>
        <v>7500</v>
      </c>
      <c r="G5" s="107">
        <f t="shared" ref="G5:G10" si="1">SUM(C5:E5)</f>
        <v>1</v>
      </c>
      <c r="J5" t="s">
        <v>34</v>
      </c>
      <c r="K5" s="105">
        <v>12000</v>
      </c>
      <c r="L5" s="104">
        <v>1.46</v>
      </c>
    </row>
    <row r="6" spans="2:12" x14ac:dyDescent="0.25">
      <c r="B6" s="106">
        <v>8000</v>
      </c>
      <c r="C6" s="107">
        <v>0.8</v>
      </c>
      <c r="D6" s="107">
        <v>0.2</v>
      </c>
      <c r="E6" s="107">
        <v>0</v>
      </c>
      <c r="F6" s="106">
        <f t="shared" si="0"/>
        <v>8000</v>
      </c>
      <c r="G6" s="107">
        <f t="shared" si="1"/>
        <v>1</v>
      </c>
      <c r="J6" t="s">
        <v>37</v>
      </c>
      <c r="K6" s="105">
        <v>20000</v>
      </c>
      <c r="L6" s="104">
        <v>2.39</v>
      </c>
    </row>
    <row r="7" spans="2:12" x14ac:dyDescent="0.25">
      <c r="B7" s="106">
        <v>8500</v>
      </c>
      <c r="C7" s="107">
        <v>0.7</v>
      </c>
      <c r="D7" s="107">
        <v>0.3</v>
      </c>
      <c r="E7" s="107">
        <v>0</v>
      </c>
      <c r="F7" s="106">
        <f t="shared" si="0"/>
        <v>8500</v>
      </c>
      <c r="G7" s="107">
        <f t="shared" si="1"/>
        <v>1</v>
      </c>
    </row>
    <row r="8" spans="2:12" x14ac:dyDescent="0.25">
      <c r="B8" s="106">
        <v>9000</v>
      </c>
      <c r="C8" s="107">
        <v>0.6</v>
      </c>
      <c r="D8" s="107">
        <v>0.4</v>
      </c>
      <c r="E8" s="107">
        <v>0</v>
      </c>
      <c r="F8" s="106">
        <f t="shared" si="0"/>
        <v>9000</v>
      </c>
      <c r="G8" s="107">
        <f t="shared" si="1"/>
        <v>1</v>
      </c>
    </row>
    <row r="9" spans="2:12" x14ac:dyDescent="0.25">
      <c r="B9" s="106">
        <v>9500</v>
      </c>
      <c r="C9" s="107">
        <v>0.5</v>
      </c>
      <c r="D9" s="107">
        <v>0.5</v>
      </c>
      <c r="E9" s="107">
        <v>0</v>
      </c>
      <c r="F9" s="106">
        <f t="shared" si="0"/>
        <v>9500</v>
      </c>
      <c r="G9" s="107">
        <f t="shared" si="1"/>
        <v>1</v>
      </c>
    </row>
    <row r="10" spans="2:12" x14ac:dyDescent="0.25">
      <c r="B10" s="106">
        <v>10000</v>
      </c>
      <c r="C10" s="107">
        <v>0.4</v>
      </c>
      <c r="D10" s="107">
        <v>0.6</v>
      </c>
      <c r="E10" s="107">
        <v>0</v>
      </c>
      <c r="F10" s="106">
        <f t="shared" si="0"/>
        <v>10000</v>
      </c>
      <c r="G10" s="107">
        <f t="shared" si="1"/>
        <v>1</v>
      </c>
    </row>
    <row r="11" spans="2:12" x14ac:dyDescent="0.25">
      <c r="B11" s="106">
        <v>10500</v>
      </c>
      <c r="C11" s="107">
        <v>0.3</v>
      </c>
      <c r="D11" s="107">
        <v>0.7</v>
      </c>
      <c r="E11" s="107">
        <v>0</v>
      </c>
      <c r="F11" s="106">
        <f t="shared" ref="F11" si="2">(C11*$K$4)+(D11*$K$5)+(E11*$K$6)</f>
        <v>10500</v>
      </c>
      <c r="G11" s="107">
        <f t="shared" ref="G11" si="3">SUM(C11:E11)</f>
        <v>1</v>
      </c>
    </row>
    <row r="12" spans="2:12" x14ac:dyDescent="0.25">
      <c r="B12" s="106">
        <v>11000</v>
      </c>
      <c r="C12" s="107">
        <v>0.2</v>
      </c>
      <c r="D12" s="107">
        <v>0.8</v>
      </c>
      <c r="E12" s="107">
        <v>0</v>
      </c>
      <c r="F12" s="106">
        <f t="shared" ref="F12:F30" si="4">(C12*$K$4)+(D12*$K$5)+(E12*$K$6)</f>
        <v>11000</v>
      </c>
      <c r="G12" s="107">
        <f t="shared" ref="G12:G30" si="5">SUM(C12:E12)</f>
        <v>1</v>
      </c>
    </row>
    <row r="13" spans="2:12" x14ac:dyDescent="0.25">
      <c r="B13" s="106">
        <v>11500</v>
      </c>
      <c r="C13" s="107">
        <v>0.1</v>
      </c>
      <c r="D13" s="107">
        <v>0.9</v>
      </c>
      <c r="E13" s="107">
        <v>0</v>
      </c>
      <c r="F13" s="106">
        <f t="shared" si="4"/>
        <v>11500</v>
      </c>
      <c r="G13" s="107">
        <f t="shared" si="5"/>
        <v>1</v>
      </c>
    </row>
    <row r="14" spans="2:12" x14ac:dyDescent="0.25">
      <c r="B14" s="106">
        <v>12000</v>
      </c>
      <c r="C14" s="107">
        <v>0</v>
      </c>
      <c r="D14" s="107">
        <v>1</v>
      </c>
      <c r="E14" s="107">
        <v>0</v>
      </c>
      <c r="F14" s="106">
        <f t="shared" si="4"/>
        <v>12000</v>
      </c>
      <c r="G14" s="107">
        <f t="shared" si="5"/>
        <v>1</v>
      </c>
    </row>
    <row r="15" spans="2:12" x14ac:dyDescent="0.25">
      <c r="B15" s="106">
        <v>12500</v>
      </c>
      <c r="C15" s="107">
        <v>0.4</v>
      </c>
      <c r="D15" s="107">
        <v>0.3</v>
      </c>
      <c r="E15" s="107">
        <v>0.3</v>
      </c>
      <c r="F15" s="106">
        <f t="shared" si="4"/>
        <v>12400</v>
      </c>
      <c r="G15" s="107">
        <f t="shared" si="5"/>
        <v>1</v>
      </c>
    </row>
    <row r="16" spans="2:12" x14ac:dyDescent="0.25">
      <c r="B16" s="106">
        <v>13000</v>
      </c>
      <c r="C16" s="107">
        <v>0</v>
      </c>
      <c r="D16" s="107">
        <v>0.2</v>
      </c>
      <c r="E16" s="107">
        <v>0.5</v>
      </c>
      <c r="F16" s="106">
        <f t="shared" si="4"/>
        <v>12400</v>
      </c>
      <c r="G16" s="107">
        <f t="shared" si="5"/>
        <v>0.7</v>
      </c>
    </row>
    <row r="17" spans="2:7" x14ac:dyDescent="0.25">
      <c r="B17" s="106">
        <v>13500</v>
      </c>
      <c r="C17" s="107">
        <v>0</v>
      </c>
      <c r="D17" s="107">
        <v>0</v>
      </c>
      <c r="E17" s="107">
        <v>0</v>
      </c>
      <c r="F17" s="106">
        <f t="shared" si="4"/>
        <v>0</v>
      </c>
      <c r="G17" s="107">
        <f t="shared" si="5"/>
        <v>0</v>
      </c>
    </row>
    <row r="18" spans="2:7" x14ac:dyDescent="0.25">
      <c r="B18" s="106">
        <v>14000</v>
      </c>
      <c r="C18" s="107">
        <v>0</v>
      </c>
      <c r="D18" s="107">
        <v>0</v>
      </c>
      <c r="E18" s="107">
        <v>0</v>
      </c>
      <c r="F18" s="106">
        <f t="shared" si="4"/>
        <v>0</v>
      </c>
      <c r="G18" s="107">
        <f t="shared" si="5"/>
        <v>0</v>
      </c>
    </row>
    <row r="19" spans="2:7" x14ac:dyDescent="0.25">
      <c r="B19" s="106">
        <v>14500</v>
      </c>
      <c r="C19" s="107">
        <v>0</v>
      </c>
      <c r="D19" s="107">
        <v>0</v>
      </c>
      <c r="E19" s="107">
        <v>0</v>
      </c>
      <c r="F19" s="106">
        <f t="shared" si="4"/>
        <v>0</v>
      </c>
      <c r="G19" s="107">
        <f t="shared" si="5"/>
        <v>0</v>
      </c>
    </row>
    <row r="20" spans="2:7" x14ac:dyDescent="0.25">
      <c r="B20" s="106">
        <v>15000</v>
      </c>
      <c r="C20" s="107">
        <v>0</v>
      </c>
      <c r="D20" s="107">
        <v>0</v>
      </c>
      <c r="E20" s="107">
        <v>0</v>
      </c>
      <c r="F20" s="106">
        <f t="shared" si="4"/>
        <v>0</v>
      </c>
      <c r="G20" s="107">
        <f t="shared" si="5"/>
        <v>0</v>
      </c>
    </row>
    <row r="21" spans="2:7" x14ac:dyDescent="0.25">
      <c r="B21" s="106">
        <v>15500</v>
      </c>
      <c r="C21" s="107">
        <v>0</v>
      </c>
      <c r="D21" s="107">
        <v>0</v>
      </c>
      <c r="E21" s="107">
        <v>0</v>
      </c>
      <c r="F21" s="106">
        <f t="shared" si="4"/>
        <v>0</v>
      </c>
      <c r="G21" s="107">
        <f t="shared" si="5"/>
        <v>0</v>
      </c>
    </row>
    <row r="22" spans="2:7" x14ac:dyDescent="0.25">
      <c r="B22" s="106">
        <v>16000</v>
      </c>
      <c r="C22" s="107">
        <v>0</v>
      </c>
      <c r="D22" s="107">
        <v>0</v>
      </c>
      <c r="E22" s="107">
        <v>0</v>
      </c>
      <c r="F22" s="106">
        <f t="shared" si="4"/>
        <v>0</v>
      </c>
      <c r="G22" s="107">
        <f t="shared" si="5"/>
        <v>0</v>
      </c>
    </row>
    <row r="23" spans="2:7" x14ac:dyDescent="0.25">
      <c r="B23" s="106">
        <v>16500</v>
      </c>
      <c r="C23" s="107">
        <v>0</v>
      </c>
      <c r="D23" s="107">
        <v>0</v>
      </c>
      <c r="E23" s="107">
        <v>0</v>
      </c>
      <c r="F23" s="106">
        <f t="shared" si="4"/>
        <v>0</v>
      </c>
      <c r="G23" s="107">
        <f t="shared" si="5"/>
        <v>0</v>
      </c>
    </row>
    <row r="24" spans="2:7" x14ac:dyDescent="0.25">
      <c r="B24" s="106">
        <v>17000</v>
      </c>
      <c r="C24" s="107">
        <v>0</v>
      </c>
      <c r="D24" s="107">
        <v>0</v>
      </c>
      <c r="E24" s="107">
        <v>0</v>
      </c>
      <c r="F24" s="106">
        <f t="shared" si="4"/>
        <v>0</v>
      </c>
      <c r="G24" s="107">
        <f t="shared" si="5"/>
        <v>0</v>
      </c>
    </row>
    <row r="25" spans="2:7" x14ac:dyDescent="0.25">
      <c r="B25" s="106">
        <v>17500</v>
      </c>
      <c r="C25" s="107">
        <v>0</v>
      </c>
      <c r="D25" s="107">
        <v>0</v>
      </c>
      <c r="E25" s="107">
        <v>0</v>
      </c>
      <c r="F25" s="106">
        <f t="shared" si="4"/>
        <v>0</v>
      </c>
      <c r="G25" s="107">
        <f t="shared" si="5"/>
        <v>0</v>
      </c>
    </row>
    <row r="26" spans="2:7" x14ac:dyDescent="0.25">
      <c r="B26" s="106">
        <v>18000</v>
      </c>
      <c r="C26" s="107">
        <v>0</v>
      </c>
      <c r="D26" s="107">
        <v>0</v>
      </c>
      <c r="E26" s="107">
        <v>0</v>
      </c>
      <c r="F26" s="106">
        <f t="shared" si="4"/>
        <v>0</v>
      </c>
      <c r="G26" s="107">
        <f t="shared" si="5"/>
        <v>0</v>
      </c>
    </row>
    <row r="27" spans="2:7" x14ac:dyDescent="0.25">
      <c r="B27" s="106">
        <v>18500</v>
      </c>
      <c r="C27" s="107">
        <v>0</v>
      </c>
      <c r="D27" s="107">
        <v>0</v>
      </c>
      <c r="E27" s="107">
        <v>0</v>
      </c>
      <c r="F27" s="106">
        <f t="shared" si="4"/>
        <v>0</v>
      </c>
      <c r="G27" s="107">
        <f t="shared" si="5"/>
        <v>0</v>
      </c>
    </row>
    <row r="28" spans="2:7" x14ac:dyDescent="0.25">
      <c r="B28" s="106">
        <v>19000</v>
      </c>
      <c r="C28" s="107">
        <v>0</v>
      </c>
      <c r="D28" s="107">
        <v>0</v>
      </c>
      <c r="E28" s="107">
        <v>0</v>
      </c>
      <c r="F28" s="106">
        <f t="shared" si="4"/>
        <v>0</v>
      </c>
      <c r="G28" s="107">
        <f t="shared" si="5"/>
        <v>0</v>
      </c>
    </row>
    <row r="29" spans="2:7" x14ac:dyDescent="0.25">
      <c r="B29" s="106">
        <v>19500</v>
      </c>
      <c r="C29" s="107">
        <v>0</v>
      </c>
      <c r="D29" s="107">
        <v>0.05</v>
      </c>
      <c r="E29" s="107">
        <v>0.95</v>
      </c>
      <c r="F29" s="106">
        <f t="shared" si="4"/>
        <v>19600</v>
      </c>
      <c r="G29" s="107">
        <f t="shared" si="5"/>
        <v>1</v>
      </c>
    </row>
    <row r="30" spans="2:7" x14ac:dyDescent="0.25">
      <c r="B30" s="106">
        <v>20000</v>
      </c>
      <c r="C30" s="107">
        <v>0</v>
      </c>
      <c r="D30" s="107">
        <v>0</v>
      </c>
      <c r="E30" s="107">
        <v>1</v>
      </c>
      <c r="F30" s="106">
        <f t="shared" si="4"/>
        <v>20000</v>
      </c>
      <c r="G30" s="107">
        <f t="shared" si="5"/>
        <v>1</v>
      </c>
    </row>
  </sheetData>
  <conditionalFormatting sqref="G4">
    <cfRule type="cellIs" dxfId="6" priority="5" operator="notEqual">
      <formula>100%</formula>
    </cfRule>
  </conditionalFormatting>
  <conditionalFormatting sqref="G5:G30">
    <cfRule type="cellIs" dxfId="5" priority="4" operator="notEqual">
      <formula>100%</formula>
    </cfRule>
  </conditionalFormatting>
  <conditionalFormatting sqref="F4">
    <cfRule type="cellIs" dxfId="4" priority="3" operator="notEqual">
      <formula>$B4</formula>
    </cfRule>
  </conditionalFormatting>
  <conditionalFormatting sqref="F5:F30">
    <cfRule type="cellIs" dxfId="3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FCAE-A1DA-4AA7-AEDC-2E0DED9663A9}">
  <dimension ref="B2:AO36"/>
  <sheetViews>
    <sheetView topLeftCell="Q1" workbookViewId="0">
      <selection activeCell="AG17" sqref="AG17"/>
    </sheetView>
  </sheetViews>
  <sheetFormatPr defaultRowHeight="15" x14ac:dyDescent="0.25"/>
  <cols>
    <col min="1" max="1" width="2.7109375" style="137" customWidth="1"/>
    <col min="2" max="7" width="9.140625" style="137"/>
    <col min="8" max="8" width="11" style="137" bestFit="1" customWidth="1"/>
    <col min="9" max="9" width="6.85546875" style="137" bestFit="1" customWidth="1"/>
    <col min="10" max="10" width="13.42578125" style="137" bestFit="1" customWidth="1"/>
    <col min="11" max="11" width="10.85546875" style="137" bestFit="1" customWidth="1"/>
    <col min="12" max="12" width="9.7109375" style="137" bestFit="1" customWidth="1"/>
    <col min="13" max="13" width="10.28515625" style="137" bestFit="1" customWidth="1"/>
    <col min="14" max="14" width="9.140625" style="137"/>
    <col min="15" max="41" width="13.140625" style="137" customWidth="1"/>
    <col min="42" max="16384" width="9.140625" style="137"/>
  </cols>
  <sheetData>
    <row r="2" spans="2:41" x14ac:dyDescent="0.25">
      <c r="B2" s="30" t="s">
        <v>36</v>
      </c>
      <c r="C2" s="30"/>
      <c r="D2" s="30"/>
      <c r="O2" s="29">
        <v>1</v>
      </c>
      <c r="P2" s="29">
        <v>2</v>
      </c>
      <c r="Q2" s="29">
        <v>3</v>
      </c>
      <c r="R2" s="29">
        <v>4</v>
      </c>
      <c r="S2" s="29">
        <v>5</v>
      </c>
      <c r="T2" s="29">
        <v>6</v>
      </c>
      <c r="U2" s="29">
        <v>7</v>
      </c>
      <c r="V2" s="29">
        <v>8</v>
      </c>
      <c r="W2" s="29">
        <v>9</v>
      </c>
      <c r="X2" s="29">
        <v>10</v>
      </c>
      <c r="Y2" s="29">
        <v>11</v>
      </c>
      <c r="Z2" s="29">
        <v>12</v>
      </c>
      <c r="AA2" s="29">
        <v>13</v>
      </c>
      <c r="AB2" s="29">
        <v>13</v>
      </c>
      <c r="AC2" s="29">
        <v>14</v>
      </c>
      <c r="AD2" s="29">
        <v>15</v>
      </c>
      <c r="AE2" s="29">
        <v>16</v>
      </c>
      <c r="AF2" s="29">
        <v>17</v>
      </c>
      <c r="AG2" s="29">
        <v>18</v>
      </c>
      <c r="AH2" s="29">
        <v>19</v>
      </c>
      <c r="AI2" s="29">
        <v>20</v>
      </c>
      <c r="AJ2" s="29">
        <v>21</v>
      </c>
      <c r="AK2" s="29">
        <v>22</v>
      </c>
      <c r="AL2" s="29">
        <v>23</v>
      </c>
      <c r="AM2" s="29">
        <v>24</v>
      </c>
      <c r="AN2" s="29">
        <v>25</v>
      </c>
      <c r="AO2" s="29">
        <v>26</v>
      </c>
    </row>
    <row r="3" spans="2:41" x14ac:dyDescent="0.25">
      <c r="B3" s="30" t="s">
        <v>39</v>
      </c>
      <c r="C3" s="113" t="s">
        <v>40</v>
      </c>
      <c r="D3" s="113" t="s">
        <v>38</v>
      </c>
      <c r="F3" s="38" t="s">
        <v>72</v>
      </c>
      <c r="G3" s="38" t="s">
        <v>73</v>
      </c>
      <c r="H3" s="38" t="s">
        <v>74</v>
      </c>
      <c r="I3" s="38" t="s">
        <v>75</v>
      </c>
      <c r="J3" s="38" t="s">
        <v>41</v>
      </c>
      <c r="K3" s="38" t="s">
        <v>76</v>
      </c>
      <c r="L3" s="38" t="s">
        <v>77</v>
      </c>
      <c r="M3" s="38" t="s">
        <v>78</v>
      </c>
      <c r="O3" s="166" t="str">
        <f>CONCATENATE("Knob step ", $K$4 - O2)</f>
        <v>Knob step 11</v>
      </c>
      <c r="P3" s="166" t="str">
        <f t="shared" ref="P3:T3" si="0">CONCATENATE("Knob step ", $K$4 - P2)</f>
        <v>Knob step 10</v>
      </c>
      <c r="Q3" s="166" t="str">
        <f t="shared" si="0"/>
        <v>Knob step 9</v>
      </c>
      <c r="R3" s="166" t="str">
        <f t="shared" si="0"/>
        <v>Knob step 8</v>
      </c>
      <c r="S3" s="166" t="str">
        <f t="shared" si="0"/>
        <v>Knob step 7</v>
      </c>
      <c r="T3" s="166" t="str">
        <f t="shared" si="0"/>
        <v>Knob step 6</v>
      </c>
      <c r="U3" s="166" t="str">
        <f t="shared" ref="U3" si="1">CONCATENATE("Knob step ", $K$4 - U2)</f>
        <v>Knob step 5</v>
      </c>
      <c r="V3" s="166" t="str">
        <f t="shared" ref="V3" si="2">CONCATENATE("Knob step ", $K$4 - V2)</f>
        <v>Knob step 4</v>
      </c>
      <c r="W3" s="166" t="str">
        <f t="shared" ref="W3" si="3">CONCATENATE("Knob step ", $K$4 - W2)</f>
        <v>Knob step 3</v>
      </c>
      <c r="X3" s="166" t="str">
        <f t="shared" ref="X3:Y3" si="4">CONCATENATE("Knob step ", $K$4 - X2)</f>
        <v>Knob step 2</v>
      </c>
      <c r="Y3" s="166" t="str">
        <f t="shared" si="4"/>
        <v>Knob step 1</v>
      </c>
      <c r="Z3" s="166" t="str">
        <f t="shared" ref="Z3" si="5">CONCATENATE("Knob step ", $K$4 - Z2)</f>
        <v>Knob step 0</v>
      </c>
      <c r="AA3" s="38" t="str">
        <f t="shared" ref="AA3" si="6">CONCATENATE("Knob step ", $K$4 - AA2)</f>
        <v>Knob step -1</v>
      </c>
      <c r="AB3" s="38" t="str">
        <f t="shared" ref="AB3" si="7">CONCATENATE("Knob step ", $K$4 - AB2)</f>
        <v>Knob step -1</v>
      </c>
      <c r="AC3" s="38" t="str">
        <f t="shared" ref="AC3:AD3" si="8">CONCATENATE("Knob step ", $K$4 - AC2)</f>
        <v>Knob step -2</v>
      </c>
      <c r="AD3" s="38" t="str">
        <f t="shared" si="8"/>
        <v>Knob step -3</v>
      </c>
      <c r="AE3" s="38" t="str">
        <f t="shared" ref="AE3" si="9">CONCATENATE("Knob step ", $K$4 - AE2)</f>
        <v>Knob step -4</v>
      </c>
      <c r="AF3" s="38" t="str">
        <f t="shared" ref="AF3" si="10">CONCATENATE("Knob step ", $K$4 - AF2)</f>
        <v>Knob step -5</v>
      </c>
      <c r="AG3" s="38" t="str">
        <f t="shared" ref="AG3" si="11">CONCATENATE("Knob step ", $K$4 - AG2)</f>
        <v>Knob step -6</v>
      </c>
      <c r="AH3" s="38" t="str">
        <f t="shared" ref="AH3:AI3" si="12">CONCATENATE("Knob step ", $K$4 - AH2)</f>
        <v>Knob step -7</v>
      </c>
      <c r="AI3" s="38" t="str">
        <f t="shared" si="12"/>
        <v>Knob step -8</v>
      </c>
      <c r="AJ3" s="38" t="str">
        <f t="shared" ref="AJ3" si="13">CONCATENATE("Knob step ", $K$4 - AJ2)</f>
        <v>Knob step -9</v>
      </c>
      <c r="AK3" s="38" t="str">
        <f t="shared" ref="AK3" si="14">CONCATENATE("Knob step ", $K$4 - AK2)</f>
        <v>Knob step -10</v>
      </c>
      <c r="AL3" s="38" t="str">
        <f t="shared" ref="AL3" si="15">CONCATENATE("Knob step ", $K$4 - AL2)</f>
        <v>Knob step -11</v>
      </c>
      <c r="AM3" s="38" t="str">
        <f t="shared" ref="AM3:AN3" si="16">CONCATENATE("Knob step ", $K$4 - AM2)</f>
        <v>Knob step -12</v>
      </c>
      <c r="AN3" s="38" t="str">
        <f t="shared" si="16"/>
        <v>Knob step -13</v>
      </c>
      <c r="AO3" s="38" t="str">
        <f t="shared" ref="AO3" si="17">CONCATENATE("Knob step ", $K$4 - AO2)</f>
        <v>Knob step -14</v>
      </c>
    </row>
    <row r="4" spans="2:41" x14ac:dyDescent="0.25">
      <c r="B4" s="137" t="s">
        <v>33</v>
      </c>
      <c r="C4" s="114">
        <v>7000</v>
      </c>
      <c r="D4" s="115">
        <v>0.87</v>
      </c>
      <c r="F4" s="155">
        <v>6</v>
      </c>
      <c r="G4" s="156">
        <v>1</v>
      </c>
      <c r="H4" s="157">
        <f>$G$4/$F$4</f>
        <v>0.16666666666666666</v>
      </c>
      <c r="I4" s="87">
        <f>COUNTA(B4:B6)</f>
        <v>3</v>
      </c>
      <c r="J4" s="87">
        <f>(F4+1)^I4</f>
        <v>343</v>
      </c>
      <c r="K4" s="158">
        <f>COUNTIFS(F:F,"&gt;=" &amp; J6, F:F,"&lt;=" &amp; K6, E:E,"&gt;99,8%", E:E, "&lt;100,02%")</f>
        <v>12</v>
      </c>
      <c r="L4" s="29">
        <v>1023</v>
      </c>
      <c r="M4" s="87">
        <f>ROUND(L4/(K4),0)</f>
        <v>85</v>
      </c>
      <c r="N4" s="29">
        <f t="shared" ref="N4:O4" si="18">ROUND(M4/(L4+1),0)</f>
        <v>0</v>
      </c>
      <c r="O4" s="29">
        <f t="shared" si="18"/>
        <v>0</v>
      </c>
      <c r="P4" s="87">
        <f>IF(O4+($M$4)&lt;=$L$4,O4+($M$4),$L$4)</f>
        <v>85</v>
      </c>
      <c r="Q4" s="87">
        <f>IF(P4+($M$4)&lt;=$L$4,P4+($M$4),$L$4)</f>
        <v>170</v>
      </c>
      <c r="R4" s="87">
        <f t="shared" ref="R4:AN4" si="19">IF(Q4+($M$4)&lt;=$L$4,Q4+($M$4),$L$4)</f>
        <v>255</v>
      </c>
      <c r="S4" s="87">
        <f t="shared" si="19"/>
        <v>340</v>
      </c>
      <c r="T4" s="87">
        <f t="shared" si="19"/>
        <v>425</v>
      </c>
      <c r="U4" s="87">
        <f t="shared" si="19"/>
        <v>510</v>
      </c>
      <c r="V4" s="87">
        <f t="shared" si="19"/>
        <v>595</v>
      </c>
      <c r="W4" s="87">
        <f t="shared" si="19"/>
        <v>680</v>
      </c>
      <c r="X4" s="87">
        <f t="shared" si="19"/>
        <v>765</v>
      </c>
      <c r="Y4" s="87">
        <f t="shared" si="19"/>
        <v>850</v>
      </c>
      <c r="Z4" s="87">
        <f t="shared" si="19"/>
        <v>935</v>
      </c>
      <c r="AA4" s="87">
        <f t="shared" si="19"/>
        <v>1020</v>
      </c>
      <c r="AB4" s="87">
        <f t="shared" si="19"/>
        <v>1023</v>
      </c>
      <c r="AC4" s="87">
        <f t="shared" si="19"/>
        <v>1023</v>
      </c>
      <c r="AD4" s="87">
        <f t="shared" si="19"/>
        <v>1023</v>
      </c>
      <c r="AE4" s="87">
        <f t="shared" si="19"/>
        <v>1023</v>
      </c>
      <c r="AF4" s="87">
        <f t="shared" si="19"/>
        <v>1023</v>
      </c>
      <c r="AG4" s="87">
        <f t="shared" si="19"/>
        <v>1023</v>
      </c>
      <c r="AH4" s="87">
        <f t="shared" si="19"/>
        <v>1023</v>
      </c>
      <c r="AI4" s="87">
        <f t="shared" si="19"/>
        <v>1023</v>
      </c>
      <c r="AJ4" s="87">
        <f t="shared" si="19"/>
        <v>1023</v>
      </c>
      <c r="AK4" s="87">
        <f t="shared" si="19"/>
        <v>1023</v>
      </c>
      <c r="AL4" s="87">
        <f t="shared" si="19"/>
        <v>1023</v>
      </c>
      <c r="AM4" s="87">
        <f t="shared" si="19"/>
        <v>1023</v>
      </c>
      <c r="AN4" s="87">
        <f t="shared" si="19"/>
        <v>1023</v>
      </c>
      <c r="AO4" s="87">
        <f>IF(AN4+($M$4)&lt;=$L$4,AN4+($M$4),$L$4)</f>
        <v>1023</v>
      </c>
    </row>
    <row r="5" spans="2:41" x14ac:dyDescent="0.25">
      <c r="B5" s="137" t="s">
        <v>34</v>
      </c>
      <c r="C5" s="114">
        <v>12000</v>
      </c>
      <c r="D5" s="115">
        <v>1.46</v>
      </c>
      <c r="F5" s="29"/>
      <c r="G5" s="29"/>
      <c r="H5" s="29"/>
      <c r="I5" s="29"/>
      <c r="J5" s="38" t="s">
        <v>89</v>
      </c>
      <c r="K5" s="38" t="s">
        <v>90</v>
      </c>
      <c r="L5" s="29"/>
      <c r="M5" s="29"/>
      <c r="O5" s="87">
        <f>IF(O4+($M$4-1)&lt;=$L$4, O4+($M$4-1), $L$4)</f>
        <v>84</v>
      </c>
      <c r="P5" s="87">
        <f t="shared" ref="P5:AO5" si="20">IF(P4+($M$4-1)&lt;=$L$4, P4+($M$4-1), $L$4)</f>
        <v>169</v>
      </c>
      <c r="Q5" s="87">
        <f t="shared" si="20"/>
        <v>254</v>
      </c>
      <c r="R5" s="87">
        <f t="shared" si="20"/>
        <v>339</v>
      </c>
      <c r="S5" s="87">
        <f t="shared" si="20"/>
        <v>424</v>
      </c>
      <c r="T5" s="87">
        <f t="shared" si="20"/>
        <v>509</v>
      </c>
      <c r="U5" s="87">
        <f t="shared" si="20"/>
        <v>594</v>
      </c>
      <c r="V5" s="87">
        <f t="shared" si="20"/>
        <v>679</v>
      </c>
      <c r="W5" s="87">
        <f t="shared" si="20"/>
        <v>764</v>
      </c>
      <c r="X5" s="87">
        <f t="shared" si="20"/>
        <v>849</v>
      </c>
      <c r="Y5" s="87">
        <f t="shared" si="20"/>
        <v>934</v>
      </c>
      <c r="Z5" s="87">
        <f t="shared" si="20"/>
        <v>1019</v>
      </c>
      <c r="AA5" s="87">
        <f t="shared" si="20"/>
        <v>1023</v>
      </c>
      <c r="AB5" s="87">
        <f t="shared" si="20"/>
        <v>1023</v>
      </c>
      <c r="AC5" s="87">
        <f t="shared" si="20"/>
        <v>1023</v>
      </c>
      <c r="AD5" s="87">
        <f t="shared" si="20"/>
        <v>1023</v>
      </c>
      <c r="AE5" s="87">
        <f t="shared" si="20"/>
        <v>1023</v>
      </c>
      <c r="AF5" s="87">
        <f t="shared" si="20"/>
        <v>1023</v>
      </c>
      <c r="AG5" s="87">
        <f t="shared" si="20"/>
        <v>1023</v>
      </c>
      <c r="AH5" s="87">
        <f t="shared" si="20"/>
        <v>1023</v>
      </c>
      <c r="AI5" s="87">
        <f t="shared" si="20"/>
        <v>1023</v>
      </c>
      <c r="AJ5" s="87">
        <f t="shared" si="20"/>
        <v>1023</v>
      </c>
      <c r="AK5" s="87">
        <f t="shared" si="20"/>
        <v>1023</v>
      </c>
      <c r="AL5" s="87">
        <f t="shared" si="20"/>
        <v>1023</v>
      </c>
      <c r="AM5" s="87">
        <f t="shared" si="20"/>
        <v>1023</v>
      </c>
      <c r="AN5" s="87">
        <f t="shared" si="20"/>
        <v>1023</v>
      </c>
      <c r="AO5" s="87">
        <f t="shared" si="20"/>
        <v>1023</v>
      </c>
    </row>
    <row r="6" spans="2:41" x14ac:dyDescent="0.25">
      <c r="B6" s="137" t="s">
        <v>37</v>
      </c>
      <c r="C6" s="114">
        <v>20000</v>
      </c>
      <c r="D6" s="115">
        <v>2.39</v>
      </c>
      <c r="F6" s="159"/>
      <c r="G6" s="29"/>
      <c r="H6" s="29"/>
      <c r="I6" s="29"/>
      <c r="J6" s="106">
        <f>C4</f>
        <v>7000</v>
      </c>
      <c r="K6" s="160">
        <v>12000</v>
      </c>
      <c r="L6" s="29"/>
      <c r="M6" s="29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29"/>
      <c r="AN6" s="29"/>
      <c r="AO6" s="29"/>
    </row>
    <row r="8" spans="2:41" x14ac:dyDescent="0.25">
      <c r="B8" s="38" t="s">
        <v>37</v>
      </c>
      <c r="C8" s="38" t="s">
        <v>34</v>
      </c>
      <c r="D8" s="38" t="s">
        <v>33</v>
      </c>
      <c r="E8" s="38" t="s">
        <v>44</v>
      </c>
      <c r="F8" s="38" t="s">
        <v>47</v>
      </c>
      <c r="G8" s="38" t="s">
        <v>45</v>
      </c>
      <c r="I8" s="161" t="s">
        <v>91</v>
      </c>
      <c r="J8" s="161" t="s">
        <v>92</v>
      </c>
      <c r="K8" s="161" t="s">
        <v>93</v>
      </c>
      <c r="L8" s="161" t="s">
        <v>94</v>
      </c>
      <c r="M8" s="161" t="s">
        <v>95</v>
      </c>
      <c r="N8" s="161" t="s">
        <v>47</v>
      </c>
      <c r="O8" s="161" t="s">
        <v>96</v>
      </c>
      <c r="Q8" s="162" t="s">
        <v>97</v>
      </c>
      <c r="R8" s="162"/>
      <c r="S8" s="162"/>
      <c r="T8" s="162"/>
      <c r="U8" s="162"/>
    </row>
    <row r="9" spans="2:41" x14ac:dyDescent="0.25">
      <c r="B9" s="163">
        <v>0</v>
      </c>
      <c r="C9" s="117">
        <v>0</v>
      </c>
      <c r="D9" s="117">
        <v>0.99999999999999989</v>
      </c>
      <c r="E9" s="117">
        <v>0.99999999999999989</v>
      </c>
      <c r="F9" s="118">
        <v>6999.9999999999991</v>
      </c>
      <c r="G9" s="164">
        <v>0.86999999999999988</v>
      </c>
      <c r="I9" s="165">
        <f t="shared" ref="I9:I36" si="21">SUM(K9:M9)</f>
        <v>100</v>
      </c>
      <c r="J9" s="165">
        <v>0</v>
      </c>
      <c r="K9" s="29">
        <v>100</v>
      </c>
      <c r="L9" s="29">
        <v>0</v>
      </c>
      <c r="M9" s="29">
        <v>0</v>
      </c>
      <c r="N9" s="105">
        <f>F9</f>
        <v>6999.9999999999991</v>
      </c>
      <c r="O9" s="83">
        <f>G9</f>
        <v>0.86999999999999988</v>
      </c>
      <c r="Q9" s="137" t="str">
        <f>CONCATENATE("{{",K9, ", ", L9, ", ", M9, "}, ",ROUND(N9,0), ", ", ROUND(O9,3),"}, /* Heat level ", J9, " = ",ROUND(N9,0), " Kcal/h */")</f>
        <v>{{100, 0, 0}, 7000, 0,87}, /* Heat level 0 = 7000 Kcal/h */</v>
      </c>
    </row>
    <row r="10" spans="2:41" x14ac:dyDescent="0.25">
      <c r="B10" s="112">
        <v>0</v>
      </c>
      <c r="C10" s="112">
        <v>0.16666666666666666</v>
      </c>
      <c r="D10" s="112">
        <v>0.83333333333333326</v>
      </c>
      <c r="E10" s="112">
        <v>0.99999999999999989</v>
      </c>
      <c r="F10" s="105">
        <v>7833.333333333333</v>
      </c>
      <c r="G10" s="83">
        <v>0.96833333333333327</v>
      </c>
      <c r="I10" s="165">
        <f t="shared" si="21"/>
        <v>100</v>
      </c>
      <c r="J10" s="165">
        <v>1</v>
      </c>
      <c r="K10" s="29">
        <v>83</v>
      </c>
      <c r="L10" s="29">
        <v>17</v>
      </c>
      <c r="M10" s="29">
        <v>0</v>
      </c>
      <c r="N10" s="105">
        <f t="shared" ref="N10:O36" si="22">F10</f>
        <v>7833.333333333333</v>
      </c>
      <c r="O10" s="83">
        <f t="shared" si="22"/>
        <v>0.96833333333333327</v>
      </c>
      <c r="Q10" s="137" t="str">
        <f t="shared" ref="Q10:Q36" si="23">CONCATENATE("{{",K10, ", ", L10, ", ", M10, "}, ",ROUND(N10,0), ", ", ROUND(O10,3),"}, /* Heat level ", J10, " = ",ROUND(N10,0), " Kcal/h */")</f>
        <v>{{83, 17, 0}, 7833, 0,968}, /* Heat level 1 = 7833 Kcal/h */</v>
      </c>
      <c r="S10" s="30"/>
      <c r="V10" s="122" t="s">
        <v>98</v>
      </c>
      <c r="W10" s="122" t="s">
        <v>79</v>
      </c>
      <c r="X10" s="122" t="s">
        <v>80</v>
      </c>
      <c r="Y10" s="122" t="s">
        <v>99</v>
      </c>
      <c r="Z10" s="122" t="s">
        <v>81</v>
      </c>
      <c r="AA10" s="122" t="s">
        <v>82</v>
      </c>
      <c r="AB10" s="122" t="s">
        <v>83</v>
      </c>
      <c r="AC10" s="122" t="s">
        <v>84</v>
      </c>
      <c r="AD10" s="122" t="s">
        <v>85</v>
      </c>
      <c r="AE10" s="122" t="s">
        <v>86</v>
      </c>
      <c r="AF10" s="122" t="s">
        <v>87</v>
      </c>
      <c r="AG10" s="122" t="s">
        <v>88</v>
      </c>
    </row>
    <row r="11" spans="2:41" x14ac:dyDescent="0.25">
      <c r="B11" s="112">
        <v>0</v>
      </c>
      <c r="C11" s="112">
        <v>0.33333333333333331</v>
      </c>
      <c r="D11" s="112">
        <v>0.66666666666666663</v>
      </c>
      <c r="E11" s="112">
        <v>1</v>
      </c>
      <c r="F11" s="105">
        <v>8666.6666666666661</v>
      </c>
      <c r="G11" s="83">
        <v>1.0666666666666667</v>
      </c>
      <c r="I11" s="165">
        <f t="shared" si="21"/>
        <v>100</v>
      </c>
      <c r="J11" s="165">
        <v>2</v>
      </c>
      <c r="K11" s="29">
        <v>67</v>
      </c>
      <c r="L11" s="29">
        <v>33</v>
      </c>
      <c r="M11" s="29">
        <v>0</v>
      </c>
      <c r="N11" s="105">
        <f t="shared" si="22"/>
        <v>8666.6666666666661</v>
      </c>
      <c r="O11" s="83">
        <f t="shared" si="22"/>
        <v>1.0666666666666667</v>
      </c>
      <c r="Q11" s="137" t="str">
        <f t="shared" si="23"/>
        <v>{{67, 33, 0}, 8667, 1,067}, /* Heat level 2 = 8667 Kcal/h */</v>
      </c>
      <c r="S11" s="30"/>
      <c r="V11" s="137">
        <f>$L$4</f>
        <v>1023</v>
      </c>
      <c r="W11" s="80">
        <f>V12-1</f>
        <v>937</v>
      </c>
      <c r="X11" s="80">
        <f t="shared" ref="X11:AG11" si="24">W12-1</f>
        <v>851</v>
      </c>
      <c r="Y11" s="80">
        <f t="shared" si="24"/>
        <v>765</v>
      </c>
      <c r="Z11" s="80">
        <f t="shared" si="24"/>
        <v>679</v>
      </c>
      <c r="AA11" s="80">
        <f t="shared" si="24"/>
        <v>593</v>
      </c>
      <c r="AB11" s="80">
        <f t="shared" si="24"/>
        <v>507</v>
      </c>
      <c r="AC11" s="80">
        <f t="shared" si="24"/>
        <v>421</v>
      </c>
      <c r="AD11" s="80">
        <f t="shared" si="24"/>
        <v>335</v>
      </c>
      <c r="AE11" s="80">
        <f t="shared" si="24"/>
        <v>249</v>
      </c>
      <c r="AF11" s="80">
        <f t="shared" si="24"/>
        <v>163</v>
      </c>
      <c r="AG11" s="80">
        <f t="shared" si="24"/>
        <v>77</v>
      </c>
      <c r="AH11" s="80"/>
    </row>
    <row r="12" spans="2:41" x14ac:dyDescent="0.25">
      <c r="B12" s="112">
        <v>0.16666666666666666</v>
      </c>
      <c r="C12" s="112">
        <v>0</v>
      </c>
      <c r="D12" s="112">
        <v>0.83333333333333326</v>
      </c>
      <c r="E12" s="112">
        <v>0.99999999999999989</v>
      </c>
      <c r="F12" s="105">
        <v>9166.6666666666661</v>
      </c>
      <c r="G12" s="83">
        <v>1.1233333333333333</v>
      </c>
      <c r="I12" s="165">
        <f t="shared" si="21"/>
        <v>100</v>
      </c>
      <c r="J12" s="165">
        <v>3</v>
      </c>
      <c r="K12" s="29">
        <v>83</v>
      </c>
      <c r="L12" s="29">
        <v>0</v>
      </c>
      <c r="M12" s="29">
        <v>17</v>
      </c>
      <c r="N12" s="105">
        <f t="shared" si="22"/>
        <v>9166.6666666666661</v>
      </c>
      <c r="O12" s="83">
        <f t="shared" si="22"/>
        <v>1.1233333333333333</v>
      </c>
      <c r="Q12" s="137" t="str">
        <f t="shared" si="23"/>
        <v>{{83, 0, 17}, 9167, 1,123}, /* Heat level 3 = 9167 Kcal/h */</v>
      </c>
      <c r="S12" s="30"/>
      <c r="V12" s="80">
        <f>V11-$M$4</f>
        <v>938</v>
      </c>
      <c r="W12" s="80">
        <f>W11-$M$4</f>
        <v>852</v>
      </c>
      <c r="X12" s="80">
        <f t="shared" ref="X12:AF12" si="25">X11-$M$4</f>
        <v>766</v>
      </c>
      <c r="Y12" s="80">
        <f t="shared" si="25"/>
        <v>680</v>
      </c>
      <c r="Z12" s="80">
        <f t="shared" si="25"/>
        <v>594</v>
      </c>
      <c r="AA12" s="80">
        <f t="shared" si="25"/>
        <v>508</v>
      </c>
      <c r="AB12" s="80">
        <f t="shared" si="25"/>
        <v>422</v>
      </c>
      <c r="AC12" s="80">
        <f t="shared" si="25"/>
        <v>336</v>
      </c>
      <c r="AD12" s="80">
        <f t="shared" si="25"/>
        <v>250</v>
      </c>
      <c r="AE12" s="80">
        <f t="shared" si="25"/>
        <v>164</v>
      </c>
      <c r="AF12" s="80">
        <f t="shared" si="25"/>
        <v>78</v>
      </c>
      <c r="AG12" s="80">
        <v>0</v>
      </c>
      <c r="AH12" s="80"/>
    </row>
    <row r="13" spans="2:41" x14ac:dyDescent="0.25">
      <c r="B13" s="112">
        <v>0</v>
      </c>
      <c r="C13" s="112">
        <v>0.5</v>
      </c>
      <c r="D13" s="112">
        <v>0.5</v>
      </c>
      <c r="E13" s="112">
        <v>1</v>
      </c>
      <c r="F13" s="105">
        <v>9500</v>
      </c>
      <c r="G13" s="83">
        <v>1.165</v>
      </c>
      <c r="I13" s="165">
        <f t="shared" si="21"/>
        <v>100</v>
      </c>
      <c r="J13" s="165">
        <v>4</v>
      </c>
      <c r="K13" s="29">
        <v>50</v>
      </c>
      <c r="L13" s="29">
        <v>50</v>
      </c>
      <c r="M13" s="29">
        <v>0</v>
      </c>
      <c r="N13" s="105">
        <f t="shared" si="22"/>
        <v>9500</v>
      </c>
      <c r="O13" s="83">
        <f t="shared" si="22"/>
        <v>1.165</v>
      </c>
      <c r="Q13" s="137" t="str">
        <f t="shared" si="23"/>
        <v>{{50, 50, 0}, 9500, 1,165}, /* Heat level 4 = 9500 Kcal/h */</v>
      </c>
      <c r="S13" s="30"/>
    </row>
    <row r="14" spans="2:41" x14ac:dyDescent="0.25">
      <c r="B14" s="112">
        <v>0.16666666666666666</v>
      </c>
      <c r="C14" s="112">
        <v>0.16666666666666666</v>
      </c>
      <c r="D14" s="112">
        <v>0.66666666666666663</v>
      </c>
      <c r="E14" s="112">
        <v>0.99999999999999989</v>
      </c>
      <c r="F14" s="105">
        <v>10000</v>
      </c>
      <c r="G14" s="83">
        <v>1.2216666666666667</v>
      </c>
      <c r="I14" s="165">
        <f t="shared" si="21"/>
        <v>100</v>
      </c>
      <c r="J14" s="165">
        <v>5</v>
      </c>
      <c r="K14" s="29">
        <v>67</v>
      </c>
      <c r="L14" s="29">
        <v>17</v>
      </c>
      <c r="M14" s="29">
        <v>16</v>
      </c>
      <c r="N14" s="105">
        <f t="shared" si="22"/>
        <v>10000</v>
      </c>
      <c r="O14" s="83">
        <f t="shared" si="22"/>
        <v>1.2216666666666667</v>
      </c>
      <c r="Q14" s="137" t="str">
        <f t="shared" si="23"/>
        <v>{{67, 17, 16}, 10000, 1,222}, /* Heat level 5 = 10000 Kcal/h */</v>
      </c>
      <c r="S14" s="30"/>
    </row>
    <row r="15" spans="2:41" x14ac:dyDescent="0.25">
      <c r="B15" s="112">
        <v>0</v>
      </c>
      <c r="C15" s="112">
        <v>0.66666666666666663</v>
      </c>
      <c r="D15" s="112">
        <v>0.33333333333333331</v>
      </c>
      <c r="E15" s="112">
        <v>1</v>
      </c>
      <c r="F15" s="105">
        <v>10333.333333333332</v>
      </c>
      <c r="G15" s="83">
        <v>1.2633333333333332</v>
      </c>
      <c r="I15" s="165">
        <f t="shared" si="21"/>
        <v>100</v>
      </c>
      <c r="J15" s="165">
        <v>6</v>
      </c>
      <c r="K15" s="29">
        <v>33</v>
      </c>
      <c r="L15" s="29">
        <v>67</v>
      </c>
      <c r="M15" s="29">
        <v>0</v>
      </c>
      <c r="N15" s="105">
        <f t="shared" si="22"/>
        <v>10333.333333333332</v>
      </c>
      <c r="O15" s="83">
        <f t="shared" si="22"/>
        <v>1.2633333333333332</v>
      </c>
      <c r="Q15" s="137" t="str">
        <f t="shared" si="23"/>
        <v>{{33, 67, 0}, 10333, 1,263}, /* Heat level 6 = 10333 Kcal/h */</v>
      </c>
      <c r="S15" s="30"/>
    </row>
    <row r="16" spans="2:41" x14ac:dyDescent="0.25">
      <c r="B16" s="112">
        <v>0.16666666666666666</v>
      </c>
      <c r="C16" s="112">
        <v>0.33333333333333331</v>
      </c>
      <c r="D16" s="112">
        <v>0.5</v>
      </c>
      <c r="E16" s="112">
        <v>0.99999999999999989</v>
      </c>
      <c r="F16" s="105">
        <v>10833.333333333332</v>
      </c>
      <c r="G16" s="83">
        <v>1.3199999999999998</v>
      </c>
      <c r="I16" s="165">
        <f t="shared" si="21"/>
        <v>100</v>
      </c>
      <c r="J16" s="165">
        <v>7</v>
      </c>
      <c r="K16" s="29">
        <v>50</v>
      </c>
      <c r="L16" s="29">
        <v>33</v>
      </c>
      <c r="M16" s="29">
        <v>17</v>
      </c>
      <c r="N16" s="105">
        <f t="shared" si="22"/>
        <v>10833.333333333332</v>
      </c>
      <c r="O16" s="83">
        <f t="shared" si="22"/>
        <v>1.3199999999999998</v>
      </c>
      <c r="Q16" s="137" t="str">
        <f t="shared" si="23"/>
        <v>{{50, 33, 17}, 10833, 1,32}, /* Heat level 7 = 10833 Kcal/h */</v>
      </c>
      <c r="S16" s="30"/>
    </row>
    <row r="17" spans="2:19" x14ac:dyDescent="0.25">
      <c r="B17" s="112">
        <v>0</v>
      </c>
      <c r="C17" s="112">
        <v>0.83333333333333326</v>
      </c>
      <c r="D17" s="112">
        <v>0.16666666666666666</v>
      </c>
      <c r="E17" s="112">
        <v>0.99999999999999989</v>
      </c>
      <c r="F17" s="105">
        <v>11166.666666666666</v>
      </c>
      <c r="G17" s="83">
        <v>1.3616666666666666</v>
      </c>
      <c r="I17" s="165">
        <f t="shared" si="21"/>
        <v>100</v>
      </c>
      <c r="J17" s="165">
        <v>8</v>
      </c>
      <c r="K17" s="29">
        <v>17</v>
      </c>
      <c r="L17" s="29">
        <v>83</v>
      </c>
      <c r="M17" s="29">
        <v>0</v>
      </c>
      <c r="N17" s="105">
        <f t="shared" si="22"/>
        <v>11166.666666666666</v>
      </c>
      <c r="O17" s="83">
        <f t="shared" si="22"/>
        <v>1.3616666666666666</v>
      </c>
      <c r="Q17" s="137" t="str">
        <f t="shared" si="23"/>
        <v>{{17, 83, 0}, 11167, 1,362}, /* Heat level 8 = 11167 Kcal/h */</v>
      </c>
      <c r="S17" s="30"/>
    </row>
    <row r="18" spans="2:19" x14ac:dyDescent="0.25">
      <c r="B18" s="112">
        <v>0.33333333333333331</v>
      </c>
      <c r="C18" s="112">
        <v>0</v>
      </c>
      <c r="D18" s="112">
        <v>0.66666666666666663</v>
      </c>
      <c r="E18" s="112">
        <v>1</v>
      </c>
      <c r="F18" s="105">
        <v>11333.333333333332</v>
      </c>
      <c r="G18" s="83">
        <v>1.3766666666666665</v>
      </c>
      <c r="I18" s="165">
        <f t="shared" si="21"/>
        <v>100</v>
      </c>
      <c r="J18" s="165">
        <v>9</v>
      </c>
      <c r="K18" s="29">
        <v>67</v>
      </c>
      <c r="L18" s="29">
        <v>0</v>
      </c>
      <c r="M18" s="29">
        <v>33</v>
      </c>
      <c r="N18" s="105">
        <f t="shared" si="22"/>
        <v>11333.333333333332</v>
      </c>
      <c r="O18" s="83">
        <f t="shared" si="22"/>
        <v>1.3766666666666665</v>
      </c>
      <c r="Q18" s="137" t="str">
        <f t="shared" si="23"/>
        <v>{{67, 0, 33}, 11333, 1,377}, /* Heat level 9 = 11333 Kcal/h */</v>
      </c>
      <c r="S18" s="30"/>
    </row>
    <row r="19" spans="2:19" x14ac:dyDescent="0.25">
      <c r="B19" s="112">
        <v>0.16666666666666666</v>
      </c>
      <c r="C19" s="112">
        <v>0.5</v>
      </c>
      <c r="D19" s="112">
        <v>0.33333333333333331</v>
      </c>
      <c r="E19" s="112">
        <v>0.99999999999999989</v>
      </c>
      <c r="F19" s="105">
        <v>11666.666666666664</v>
      </c>
      <c r="G19" s="83">
        <v>1.4183333333333334</v>
      </c>
      <c r="I19" s="165">
        <f t="shared" si="21"/>
        <v>100</v>
      </c>
      <c r="J19" s="165">
        <v>10</v>
      </c>
      <c r="K19" s="29">
        <v>33</v>
      </c>
      <c r="L19" s="29">
        <v>50</v>
      </c>
      <c r="M19" s="29">
        <v>17</v>
      </c>
      <c r="N19" s="105">
        <f t="shared" si="22"/>
        <v>11666.666666666664</v>
      </c>
      <c r="O19" s="83">
        <f t="shared" si="22"/>
        <v>1.4183333333333334</v>
      </c>
      <c r="Q19" s="137" t="str">
        <f t="shared" si="23"/>
        <v>{{33, 50, 17}, 11667, 1,418}, /* Heat level 10 = 11667 Kcal/h */</v>
      </c>
      <c r="S19" s="30"/>
    </row>
    <row r="20" spans="2:19" x14ac:dyDescent="0.25">
      <c r="B20" s="163">
        <v>0</v>
      </c>
      <c r="C20" s="117">
        <v>0.99999999999999989</v>
      </c>
      <c r="D20" s="117">
        <v>0</v>
      </c>
      <c r="E20" s="117">
        <v>0.99999999999999989</v>
      </c>
      <c r="F20" s="118">
        <v>11999.999999999998</v>
      </c>
      <c r="G20" s="164">
        <v>1.4599999999999997</v>
      </c>
      <c r="I20" s="165">
        <f t="shared" si="21"/>
        <v>100</v>
      </c>
      <c r="J20" s="165">
        <v>11</v>
      </c>
      <c r="K20" s="29">
        <v>0</v>
      </c>
      <c r="L20" s="29">
        <v>100</v>
      </c>
      <c r="M20" s="29">
        <v>0</v>
      </c>
      <c r="N20" s="105">
        <f t="shared" si="22"/>
        <v>11999.999999999998</v>
      </c>
      <c r="O20" s="83">
        <f t="shared" si="22"/>
        <v>1.4599999999999997</v>
      </c>
      <c r="Q20" s="137" t="str">
        <f t="shared" si="23"/>
        <v>{{0, 100, 0}, 12000, 1,46}, /* Heat level 11 = 12000 Kcal/h */</v>
      </c>
      <c r="S20" s="30"/>
    </row>
    <row r="21" spans="2:19" x14ac:dyDescent="0.25">
      <c r="B21" s="112">
        <v>0.33333333333333331</v>
      </c>
      <c r="C21" s="112">
        <v>0.16666666666666666</v>
      </c>
      <c r="D21" s="112">
        <v>0.5</v>
      </c>
      <c r="E21" s="112">
        <v>1</v>
      </c>
      <c r="F21" s="105">
        <v>12166.666666666666</v>
      </c>
      <c r="G21" s="83">
        <v>1.4750000000000001</v>
      </c>
      <c r="I21" s="165">
        <f t="shared" si="21"/>
        <v>100</v>
      </c>
      <c r="J21" s="165">
        <v>12</v>
      </c>
      <c r="K21" s="29">
        <v>50</v>
      </c>
      <c r="L21" s="29">
        <v>17</v>
      </c>
      <c r="M21" s="29">
        <v>33</v>
      </c>
      <c r="N21" s="105">
        <f t="shared" si="22"/>
        <v>12166.666666666666</v>
      </c>
      <c r="O21" s="83">
        <f t="shared" si="22"/>
        <v>1.4750000000000001</v>
      </c>
      <c r="Q21" s="137" t="str">
        <f t="shared" si="23"/>
        <v>{{50, 17, 33}, 12167, 1,475}, /* Heat level 12 = 12167 Kcal/h */</v>
      </c>
      <c r="S21" s="30"/>
    </row>
    <row r="22" spans="2:19" x14ac:dyDescent="0.25">
      <c r="B22" s="112">
        <v>0.16666666666666666</v>
      </c>
      <c r="C22" s="112">
        <v>0.66666666666666663</v>
      </c>
      <c r="D22" s="112">
        <v>0.16666666666666666</v>
      </c>
      <c r="E22" s="112">
        <v>0.99999999999999989</v>
      </c>
      <c r="F22" s="105">
        <v>12500</v>
      </c>
      <c r="G22" s="83">
        <v>1.5166666666666666</v>
      </c>
      <c r="I22" s="165">
        <f t="shared" si="21"/>
        <v>100</v>
      </c>
      <c r="J22" s="165">
        <v>13</v>
      </c>
      <c r="K22" s="29">
        <v>17</v>
      </c>
      <c r="L22" s="29">
        <v>67</v>
      </c>
      <c r="M22" s="29">
        <v>16</v>
      </c>
      <c r="N22" s="105">
        <f t="shared" si="22"/>
        <v>12500</v>
      </c>
      <c r="O22" s="83">
        <f t="shared" si="22"/>
        <v>1.5166666666666666</v>
      </c>
      <c r="Q22" s="137" t="str">
        <f t="shared" si="23"/>
        <v>{{17, 67, 16}, 12500, 1,517}, /* Heat level 13 = 12500 Kcal/h */</v>
      </c>
      <c r="S22" s="30"/>
    </row>
    <row r="23" spans="2:19" x14ac:dyDescent="0.25">
      <c r="B23" s="112">
        <v>0.33333333333333331</v>
      </c>
      <c r="C23" s="112">
        <v>0.33333333333333331</v>
      </c>
      <c r="D23" s="112">
        <v>0.33333333333333331</v>
      </c>
      <c r="E23" s="112">
        <v>1</v>
      </c>
      <c r="F23" s="105">
        <v>13000</v>
      </c>
      <c r="G23" s="83">
        <v>1.5733333333333333</v>
      </c>
      <c r="I23" s="165">
        <f t="shared" si="21"/>
        <v>100</v>
      </c>
      <c r="J23" s="165">
        <v>14</v>
      </c>
      <c r="K23" s="29">
        <v>34</v>
      </c>
      <c r="L23" s="29">
        <v>33</v>
      </c>
      <c r="M23" s="29">
        <v>33</v>
      </c>
      <c r="N23" s="105">
        <f t="shared" si="22"/>
        <v>13000</v>
      </c>
      <c r="O23" s="83">
        <f t="shared" si="22"/>
        <v>1.5733333333333333</v>
      </c>
      <c r="Q23" s="137" t="str">
        <f t="shared" si="23"/>
        <v>{{34, 33, 33}, 13000, 1,573}, /* Heat level 14 = 13000 Kcal/h */</v>
      </c>
      <c r="S23" s="30"/>
    </row>
    <row r="24" spans="2:19" x14ac:dyDescent="0.25">
      <c r="B24" s="112">
        <v>0.16666666666666666</v>
      </c>
      <c r="C24" s="112">
        <v>0.83333333333333326</v>
      </c>
      <c r="D24" s="112">
        <v>0</v>
      </c>
      <c r="E24" s="112">
        <v>0.99999999999999989</v>
      </c>
      <c r="F24" s="105">
        <v>13333.333333333332</v>
      </c>
      <c r="G24" s="83">
        <v>1.6149999999999998</v>
      </c>
      <c r="I24" s="165">
        <f t="shared" si="21"/>
        <v>100</v>
      </c>
      <c r="J24" s="165">
        <v>15</v>
      </c>
      <c r="K24" s="29">
        <v>0</v>
      </c>
      <c r="L24" s="29">
        <v>83</v>
      </c>
      <c r="M24" s="29">
        <v>17</v>
      </c>
      <c r="N24" s="105">
        <f t="shared" si="22"/>
        <v>13333.333333333332</v>
      </c>
      <c r="O24" s="83">
        <f t="shared" si="22"/>
        <v>1.6149999999999998</v>
      </c>
      <c r="Q24" s="137" t="str">
        <f t="shared" si="23"/>
        <v>{{0, 83, 17}, 13333, 1,615}, /* Heat level 15 = 13333 Kcal/h */</v>
      </c>
      <c r="S24" s="30"/>
    </row>
    <row r="25" spans="2:19" x14ac:dyDescent="0.25">
      <c r="B25" s="112">
        <v>0.5</v>
      </c>
      <c r="C25" s="112">
        <v>0</v>
      </c>
      <c r="D25" s="112">
        <v>0.5</v>
      </c>
      <c r="E25" s="112">
        <v>1</v>
      </c>
      <c r="F25" s="105">
        <v>13500</v>
      </c>
      <c r="G25" s="83">
        <v>1.6300000000000001</v>
      </c>
      <c r="I25" s="165">
        <f t="shared" si="21"/>
        <v>100</v>
      </c>
      <c r="J25" s="165">
        <v>16</v>
      </c>
      <c r="K25" s="29">
        <v>50</v>
      </c>
      <c r="L25" s="29">
        <v>0</v>
      </c>
      <c r="M25" s="29">
        <v>50</v>
      </c>
      <c r="N25" s="105">
        <f t="shared" si="22"/>
        <v>13500</v>
      </c>
      <c r="O25" s="83">
        <f t="shared" si="22"/>
        <v>1.6300000000000001</v>
      </c>
      <c r="Q25" s="137" t="str">
        <f t="shared" si="23"/>
        <v>{{50, 0, 50}, 13500, 1,63}, /* Heat level 16 = 13500 Kcal/h */</v>
      </c>
      <c r="S25" s="30"/>
    </row>
    <row r="26" spans="2:19" x14ac:dyDescent="0.25">
      <c r="B26" s="112">
        <v>0.33333333333333331</v>
      </c>
      <c r="C26" s="112">
        <v>0.5</v>
      </c>
      <c r="D26" s="112">
        <v>0.16666666666666666</v>
      </c>
      <c r="E26" s="112">
        <v>1</v>
      </c>
      <c r="F26" s="105">
        <v>13833.333333333332</v>
      </c>
      <c r="G26" s="83">
        <v>1.6716666666666666</v>
      </c>
      <c r="I26" s="165">
        <f t="shared" si="21"/>
        <v>100</v>
      </c>
      <c r="J26" s="165">
        <v>17</v>
      </c>
      <c r="K26" s="29">
        <v>17</v>
      </c>
      <c r="L26" s="29">
        <v>50</v>
      </c>
      <c r="M26" s="29">
        <v>33</v>
      </c>
      <c r="N26" s="105">
        <f t="shared" si="22"/>
        <v>13833.333333333332</v>
      </c>
      <c r="O26" s="83">
        <f t="shared" si="22"/>
        <v>1.6716666666666666</v>
      </c>
      <c r="Q26" s="137" t="str">
        <f t="shared" si="23"/>
        <v>{{17, 50, 33}, 13833, 1,672}, /* Heat level 17 = 13833 Kcal/h */</v>
      </c>
      <c r="S26" s="30"/>
    </row>
    <row r="27" spans="2:19" x14ac:dyDescent="0.25">
      <c r="B27" s="112">
        <v>0.5</v>
      </c>
      <c r="C27" s="112">
        <v>0.16666666666666666</v>
      </c>
      <c r="D27" s="112">
        <v>0.33333333333333331</v>
      </c>
      <c r="E27" s="112">
        <v>1</v>
      </c>
      <c r="F27" s="105">
        <v>14333.333333333332</v>
      </c>
      <c r="G27" s="83">
        <v>1.7283333333333335</v>
      </c>
      <c r="I27" s="165">
        <f t="shared" si="21"/>
        <v>100</v>
      </c>
      <c r="J27" s="165">
        <v>18</v>
      </c>
      <c r="K27" s="29">
        <v>33</v>
      </c>
      <c r="L27" s="29">
        <v>17</v>
      </c>
      <c r="M27" s="29">
        <v>50</v>
      </c>
      <c r="N27" s="105">
        <f t="shared" si="22"/>
        <v>14333.333333333332</v>
      </c>
      <c r="O27" s="83">
        <f t="shared" si="22"/>
        <v>1.7283333333333335</v>
      </c>
      <c r="Q27" s="137" t="str">
        <f t="shared" si="23"/>
        <v>{{33, 17, 50}, 14333, 1,728}, /* Heat level 18 = 14333 Kcal/h */</v>
      </c>
      <c r="S27" s="30"/>
    </row>
    <row r="28" spans="2:19" x14ac:dyDescent="0.25">
      <c r="B28" s="112">
        <v>0.33333333333333331</v>
      </c>
      <c r="C28" s="112">
        <v>0.66666666666666663</v>
      </c>
      <c r="D28" s="112">
        <v>0</v>
      </c>
      <c r="E28" s="112">
        <v>1</v>
      </c>
      <c r="F28" s="105">
        <v>14666.666666666666</v>
      </c>
      <c r="G28" s="83">
        <v>1.77</v>
      </c>
      <c r="I28" s="165">
        <f t="shared" si="21"/>
        <v>100</v>
      </c>
      <c r="J28" s="165">
        <v>19</v>
      </c>
      <c r="K28" s="29">
        <v>0</v>
      </c>
      <c r="L28" s="29">
        <v>67</v>
      </c>
      <c r="M28" s="29">
        <v>33</v>
      </c>
      <c r="N28" s="105">
        <f t="shared" si="22"/>
        <v>14666.666666666666</v>
      </c>
      <c r="O28" s="83">
        <f t="shared" si="22"/>
        <v>1.77</v>
      </c>
      <c r="Q28" s="137" t="str">
        <f t="shared" si="23"/>
        <v>{{0, 67, 33}, 14667, 1,77}, /* Heat level 19 = 14667 Kcal/h */</v>
      </c>
      <c r="S28" s="30"/>
    </row>
    <row r="29" spans="2:19" x14ac:dyDescent="0.25">
      <c r="B29" s="112">
        <v>0.5</v>
      </c>
      <c r="C29" s="112">
        <v>0.33333333333333331</v>
      </c>
      <c r="D29" s="112">
        <v>0.16666666666666666</v>
      </c>
      <c r="E29" s="112">
        <v>1</v>
      </c>
      <c r="F29" s="105">
        <v>15166.666666666666</v>
      </c>
      <c r="G29" s="83">
        <v>1.8266666666666667</v>
      </c>
      <c r="I29" s="165">
        <f t="shared" si="21"/>
        <v>100</v>
      </c>
      <c r="J29" s="165">
        <v>20</v>
      </c>
      <c r="K29" s="29">
        <v>17</v>
      </c>
      <c r="L29" s="29">
        <v>33</v>
      </c>
      <c r="M29" s="29">
        <v>50</v>
      </c>
      <c r="N29" s="105">
        <f t="shared" si="22"/>
        <v>15166.666666666666</v>
      </c>
      <c r="O29" s="83">
        <f t="shared" si="22"/>
        <v>1.8266666666666667</v>
      </c>
      <c r="Q29" s="137" t="str">
        <f t="shared" si="23"/>
        <v>{{17, 33, 50}, 15167, 1,827}, /* Heat level 20 = 15167 Kcal/h */</v>
      </c>
      <c r="S29" s="30"/>
    </row>
    <row r="30" spans="2:19" x14ac:dyDescent="0.25">
      <c r="B30" s="112">
        <v>0.66666666666666663</v>
      </c>
      <c r="C30" s="112">
        <v>0</v>
      </c>
      <c r="D30" s="112">
        <v>0.33333333333333331</v>
      </c>
      <c r="E30" s="112">
        <v>1</v>
      </c>
      <c r="F30" s="105">
        <v>15666.666666666664</v>
      </c>
      <c r="G30" s="83">
        <v>1.8833333333333333</v>
      </c>
      <c r="I30" s="165">
        <f t="shared" si="21"/>
        <v>100</v>
      </c>
      <c r="J30" s="165">
        <v>21</v>
      </c>
      <c r="K30" s="29">
        <v>33</v>
      </c>
      <c r="L30" s="29">
        <v>0</v>
      </c>
      <c r="M30" s="29">
        <v>67</v>
      </c>
      <c r="N30" s="105">
        <f t="shared" si="22"/>
        <v>15666.666666666664</v>
      </c>
      <c r="O30" s="83">
        <f t="shared" si="22"/>
        <v>1.8833333333333333</v>
      </c>
      <c r="Q30" s="137" t="str">
        <f t="shared" si="23"/>
        <v>{{33, 0, 67}, 15667, 1,883}, /* Heat level 21 = 15667 Kcal/h */</v>
      </c>
      <c r="S30" s="30"/>
    </row>
    <row r="31" spans="2:19" x14ac:dyDescent="0.25">
      <c r="B31" s="112">
        <v>0.5</v>
      </c>
      <c r="C31" s="112">
        <v>0.5</v>
      </c>
      <c r="D31" s="112">
        <v>0</v>
      </c>
      <c r="E31" s="112">
        <v>1</v>
      </c>
      <c r="F31" s="105">
        <v>16000</v>
      </c>
      <c r="G31" s="83">
        <v>1.925</v>
      </c>
      <c r="I31" s="165">
        <f t="shared" si="21"/>
        <v>100</v>
      </c>
      <c r="J31" s="165">
        <v>22</v>
      </c>
      <c r="K31" s="29">
        <v>0</v>
      </c>
      <c r="L31" s="29">
        <v>50</v>
      </c>
      <c r="M31" s="29">
        <v>50</v>
      </c>
      <c r="N31" s="105">
        <f t="shared" si="22"/>
        <v>16000</v>
      </c>
      <c r="O31" s="83">
        <f t="shared" si="22"/>
        <v>1.925</v>
      </c>
      <c r="Q31" s="137" t="str">
        <f t="shared" si="23"/>
        <v>{{0, 50, 50}, 16000, 1,925}, /* Heat level 22 = 16000 Kcal/h */</v>
      </c>
      <c r="S31" s="30"/>
    </row>
    <row r="32" spans="2:19" x14ac:dyDescent="0.25">
      <c r="B32" s="112">
        <v>0.66666666666666663</v>
      </c>
      <c r="C32" s="112">
        <v>0.16666666666666666</v>
      </c>
      <c r="D32" s="112">
        <v>0.16666666666666666</v>
      </c>
      <c r="E32" s="112">
        <v>1</v>
      </c>
      <c r="F32" s="105">
        <v>16500</v>
      </c>
      <c r="G32" s="83">
        <v>1.9816666666666665</v>
      </c>
      <c r="I32" s="165">
        <f t="shared" si="21"/>
        <v>100</v>
      </c>
      <c r="J32" s="165">
        <v>23</v>
      </c>
      <c r="K32" s="29">
        <v>17</v>
      </c>
      <c r="L32" s="29">
        <v>17</v>
      </c>
      <c r="M32" s="29">
        <v>66</v>
      </c>
      <c r="N32" s="105">
        <f t="shared" si="22"/>
        <v>16500</v>
      </c>
      <c r="O32" s="83">
        <f t="shared" si="22"/>
        <v>1.9816666666666665</v>
      </c>
      <c r="Q32" s="137" t="str">
        <f t="shared" si="23"/>
        <v>{{17, 17, 66}, 16500, 1,982}, /* Heat level 23 = 16500 Kcal/h */</v>
      </c>
      <c r="S32" s="30"/>
    </row>
    <row r="33" spans="2:19" x14ac:dyDescent="0.25">
      <c r="B33" s="112">
        <v>0.66666666666666663</v>
      </c>
      <c r="C33" s="112">
        <v>0.33333333333333331</v>
      </c>
      <c r="D33" s="112">
        <v>0</v>
      </c>
      <c r="E33" s="112">
        <v>1</v>
      </c>
      <c r="F33" s="105">
        <v>17333.333333333332</v>
      </c>
      <c r="G33" s="83">
        <v>2.08</v>
      </c>
      <c r="I33" s="165">
        <f t="shared" si="21"/>
        <v>100</v>
      </c>
      <c r="J33" s="165">
        <v>24</v>
      </c>
      <c r="K33" s="29">
        <v>0</v>
      </c>
      <c r="L33" s="29">
        <v>33</v>
      </c>
      <c r="M33" s="29">
        <v>67</v>
      </c>
      <c r="N33" s="105">
        <f t="shared" si="22"/>
        <v>17333.333333333332</v>
      </c>
      <c r="O33" s="83">
        <f t="shared" si="22"/>
        <v>2.08</v>
      </c>
      <c r="Q33" s="137" t="str">
        <f t="shared" si="23"/>
        <v>{{0, 33, 67}, 17333, 2,08}, /* Heat level 24 = 17333 Kcal/h */</v>
      </c>
      <c r="S33" s="30"/>
    </row>
    <row r="34" spans="2:19" x14ac:dyDescent="0.25">
      <c r="B34" s="112">
        <v>0.83333333333333326</v>
      </c>
      <c r="C34" s="112">
        <v>0</v>
      </c>
      <c r="D34" s="112">
        <v>0.16666666666666666</v>
      </c>
      <c r="E34" s="112">
        <v>0.99999999999999989</v>
      </c>
      <c r="F34" s="105">
        <v>17833.333333333332</v>
      </c>
      <c r="G34" s="83">
        <v>2.1366666666666667</v>
      </c>
      <c r="I34" s="165">
        <f t="shared" si="21"/>
        <v>100</v>
      </c>
      <c r="J34" s="165">
        <v>25</v>
      </c>
      <c r="K34" s="29">
        <v>17</v>
      </c>
      <c r="L34" s="29">
        <v>0</v>
      </c>
      <c r="M34" s="29">
        <v>83</v>
      </c>
      <c r="N34" s="105">
        <f t="shared" si="22"/>
        <v>17833.333333333332</v>
      </c>
      <c r="O34" s="83">
        <f t="shared" si="22"/>
        <v>2.1366666666666667</v>
      </c>
      <c r="Q34" s="137" t="str">
        <f t="shared" si="23"/>
        <v>{{17, 0, 83}, 17833, 2,137}, /* Heat level 25 = 17833 Kcal/h */</v>
      </c>
      <c r="S34" s="30"/>
    </row>
    <row r="35" spans="2:19" x14ac:dyDescent="0.25">
      <c r="B35" s="112">
        <v>0.83333333333333326</v>
      </c>
      <c r="C35" s="112">
        <v>0.16666666666666666</v>
      </c>
      <c r="D35" s="112">
        <v>0</v>
      </c>
      <c r="E35" s="112">
        <v>0.99999999999999989</v>
      </c>
      <c r="F35" s="105">
        <v>18666.666666666664</v>
      </c>
      <c r="G35" s="83">
        <v>2.2349999999999999</v>
      </c>
      <c r="I35" s="165">
        <f t="shared" si="21"/>
        <v>100</v>
      </c>
      <c r="J35" s="165">
        <v>26</v>
      </c>
      <c r="K35" s="29">
        <v>0</v>
      </c>
      <c r="L35" s="29">
        <v>17</v>
      </c>
      <c r="M35" s="29">
        <v>83</v>
      </c>
      <c r="N35" s="105">
        <f t="shared" si="22"/>
        <v>18666.666666666664</v>
      </c>
      <c r="O35" s="83">
        <f t="shared" si="22"/>
        <v>2.2349999999999999</v>
      </c>
      <c r="Q35" s="137" t="str">
        <f t="shared" si="23"/>
        <v>{{0, 17, 83}, 18667, 2,235}, /* Heat level 26 = 18667 Kcal/h */</v>
      </c>
      <c r="S35" s="30"/>
    </row>
    <row r="36" spans="2:19" x14ac:dyDescent="0.25">
      <c r="B36" s="112">
        <v>0.99999999999999989</v>
      </c>
      <c r="C36" s="112">
        <v>0</v>
      </c>
      <c r="D36" s="112">
        <v>0</v>
      </c>
      <c r="E36" s="112">
        <v>0.99999999999999989</v>
      </c>
      <c r="F36" s="105">
        <v>19999.999999999996</v>
      </c>
      <c r="G36" s="83">
        <v>2.3899999999999997</v>
      </c>
      <c r="I36" s="165">
        <f t="shared" si="21"/>
        <v>100</v>
      </c>
      <c r="J36" s="165">
        <v>27</v>
      </c>
      <c r="K36" s="29">
        <v>0</v>
      </c>
      <c r="L36" s="29">
        <v>0</v>
      </c>
      <c r="M36" s="29">
        <v>100</v>
      </c>
      <c r="N36" s="105">
        <f t="shared" si="22"/>
        <v>19999.999999999996</v>
      </c>
      <c r="O36" s="83">
        <f t="shared" si="22"/>
        <v>2.3899999999999997</v>
      </c>
      <c r="Q36" s="137" t="str">
        <f t="shared" si="23"/>
        <v>{{0, 0, 100}, 20000, 2,39}, /* Heat level 27 = 20000 Kcal/h */</v>
      </c>
      <c r="S36" s="30"/>
    </row>
  </sheetData>
  <autoFilter ref="B8:G36" xr:uid="{A6538461-CD4E-4D6A-AEF9-8A63886576C9}"/>
  <phoneticPr fontId="10" type="noConversion"/>
  <conditionalFormatting sqref="K6">
    <cfRule type="cellIs" dxfId="2" priority="3" operator="equal">
      <formula>0</formula>
    </cfRule>
  </conditionalFormatting>
  <conditionalFormatting sqref="J6">
    <cfRule type="cellIs" dxfId="1" priority="2" operator="equal">
      <formula>0</formula>
    </cfRule>
  </conditionalFormatting>
  <conditionalFormatting sqref="F9:F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20"/>
  <sheetViews>
    <sheetView workbookViewId="0">
      <selection activeCell="B12" sqref="B12"/>
    </sheetView>
  </sheetViews>
  <sheetFormatPr defaultRowHeight="15" x14ac:dyDescent="0.25"/>
  <sheetData>
    <row r="1" spans="1:15" ht="15.75" thickBot="1" x14ac:dyDescent="0.3">
      <c r="A1" s="142" t="s">
        <v>66</v>
      </c>
      <c r="B1" s="150">
        <v>10</v>
      </c>
      <c r="C1" s="137"/>
      <c r="D1" s="149" t="s">
        <v>67</v>
      </c>
      <c r="E1" s="150">
        <v>1024</v>
      </c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5" x14ac:dyDescent="0.2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5" x14ac:dyDescent="0.2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5" ht="15.75" thickBot="1" x14ac:dyDescent="0.3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6"/>
      <c r="O4" s="136"/>
    </row>
    <row r="5" spans="1:15" x14ac:dyDescent="0.25">
      <c r="A5" s="146" t="s">
        <v>68</v>
      </c>
      <c r="B5" s="143">
        <v>-40</v>
      </c>
      <c r="C5" s="138">
        <v>-30</v>
      </c>
      <c r="D5" s="138">
        <v>-20</v>
      </c>
      <c r="E5" s="138">
        <v>-10</v>
      </c>
      <c r="F5" s="138">
        <v>0</v>
      </c>
      <c r="G5" s="138">
        <v>10</v>
      </c>
      <c r="H5" s="138">
        <v>20</v>
      </c>
      <c r="I5" s="138">
        <v>30</v>
      </c>
      <c r="J5" s="138">
        <v>40</v>
      </c>
      <c r="K5" s="138">
        <v>50</v>
      </c>
      <c r="L5" s="138">
        <v>60</v>
      </c>
      <c r="M5" s="139">
        <v>70</v>
      </c>
      <c r="N5" s="136"/>
      <c r="O5" s="136"/>
    </row>
    <row r="6" spans="1:15" x14ac:dyDescent="0.25">
      <c r="A6" s="147" t="s">
        <v>69</v>
      </c>
      <c r="B6" s="144">
        <v>188.5</v>
      </c>
      <c r="C6" s="140">
        <v>111.3</v>
      </c>
      <c r="D6" s="140">
        <v>67.77</v>
      </c>
      <c r="E6" s="140">
        <v>42.47</v>
      </c>
      <c r="F6" s="140">
        <v>27.28</v>
      </c>
      <c r="G6" s="140">
        <v>17.96</v>
      </c>
      <c r="H6" s="140">
        <v>12.09</v>
      </c>
      <c r="I6" s="140">
        <v>8.3130000000000006</v>
      </c>
      <c r="J6" s="140">
        <v>5.827</v>
      </c>
      <c r="K6" s="140">
        <v>4.16</v>
      </c>
      <c r="L6" s="140">
        <v>3.02</v>
      </c>
      <c r="M6" s="141">
        <v>2.2280000000000002</v>
      </c>
      <c r="N6" s="136"/>
      <c r="O6" s="136"/>
    </row>
    <row r="7" spans="1:15" ht="15.75" thickBot="1" x14ac:dyDescent="0.3">
      <c r="A7" s="148" t="s">
        <v>13</v>
      </c>
      <c r="B7" s="145">
        <f>INT($E1*B6/(B6+$B1))</f>
        <v>972</v>
      </c>
      <c r="C7" s="145">
        <f t="shared" ref="C7:M7" si="0">INT($E1*C6/(C6+$B1))</f>
        <v>939</v>
      </c>
      <c r="D7" s="145">
        <f t="shared" si="0"/>
        <v>892</v>
      </c>
      <c r="E7" s="145">
        <f t="shared" si="0"/>
        <v>828</v>
      </c>
      <c r="F7" s="145">
        <f t="shared" si="0"/>
        <v>749</v>
      </c>
      <c r="G7" s="145">
        <f t="shared" si="0"/>
        <v>657</v>
      </c>
      <c r="H7" s="145">
        <f t="shared" si="0"/>
        <v>560</v>
      </c>
      <c r="I7" s="145">
        <f t="shared" si="0"/>
        <v>464</v>
      </c>
      <c r="J7" s="145">
        <f t="shared" si="0"/>
        <v>377</v>
      </c>
      <c r="K7" s="145">
        <f t="shared" si="0"/>
        <v>300</v>
      </c>
      <c r="L7" s="145">
        <f t="shared" si="0"/>
        <v>237</v>
      </c>
      <c r="M7" s="145">
        <f t="shared" si="0"/>
        <v>186</v>
      </c>
      <c r="N7" s="136"/>
      <c r="O7" s="136"/>
    </row>
    <row r="8" spans="1:15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15" x14ac:dyDescent="0.2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15" ht="15.75" thickBot="1" x14ac:dyDescent="0.3">
      <c r="A10" s="30" t="s">
        <v>70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6"/>
      <c r="O10" s="136"/>
    </row>
    <row r="11" spans="1:15" x14ac:dyDescent="0.25">
      <c r="A11" s="146" t="s">
        <v>68</v>
      </c>
      <c r="B11" s="138">
        <v>-20</v>
      </c>
      <c r="C11" s="138">
        <v>-10</v>
      </c>
      <c r="D11" s="138">
        <v>0</v>
      </c>
      <c r="E11" s="138">
        <v>10</v>
      </c>
      <c r="F11" s="138">
        <v>20</v>
      </c>
      <c r="G11" s="138">
        <v>30</v>
      </c>
      <c r="H11" s="138">
        <v>40</v>
      </c>
      <c r="I11" s="138">
        <v>50</v>
      </c>
      <c r="J11" s="138">
        <v>60</v>
      </c>
      <c r="K11" s="138">
        <v>70</v>
      </c>
      <c r="L11" s="138">
        <v>80</v>
      </c>
      <c r="M11" s="139">
        <v>90</v>
      </c>
      <c r="N11" s="136"/>
      <c r="O11" s="136"/>
    </row>
    <row r="12" spans="1:15" x14ac:dyDescent="0.25">
      <c r="A12" s="147" t="s">
        <v>69</v>
      </c>
      <c r="B12" s="151">
        <v>98.66</v>
      </c>
      <c r="C12" s="151">
        <v>56.25</v>
      </c>
      <c r="D12" s="151">
        <v>33.21</v>
      </c>
      <c r="E12" s="151">
        <v>20.239999999999998</v>
      </c>
      <c r="F12" s="151">
        <v>12.71</v>
      </c>
      <c r="G12" s="151">
        <v>8.1940000000000008</v>
      </c>
      <c r="H12" s="151">
        <v>5.4160000000000004</v>
      </c>
      <c r="I12" s="151">
        <v>3.6629999999999998</v>
      </c>
      <c r="J12" s="151">
        <v>2.5299999999999998</v>
      </c>
      <c r="K12" s="151">
        <v>1.782</v>
      </c>
      <c r="L12" s="151">
        <v>1.278</v>
      </c>
      <c r="M12" s="152">
        <v>0.93159999999999998</v>
      </c>
      <c r="N12" s="136"/>
      <c r="O12" s="136"/>
    </row>
    <row r="13" spans="1:15" ht="15.75" thickBot="1" x14ac:dyDescent="0.3">
      <c r="A13" s="148" t="s">
        <v>13</v>
      </c>
      <c r="B13" s="153">
        <f>INT($E1*B12/(B12+$B1))</f>
        <v>929</v>
      </c>
      <c r="C13" s="153">
        <f t="shared" ref="C13:M13" si="1">INT($E1*C12/(C12+$B1))</f>
        <v>869</v>
      </c>
      <c r="D13" s="154">
        <f t="shared" si="1"/>
        <v>787</v>
      </c>
      <c r="E13" s="153">
        <f t="shared" si="1"/>
        <v>685</v>
      </c>
      <c r="F13" s="153">
        <f t="shared" si="1"/>
        <v>573</v>
      </c>
      <c r="G13" s="153">
        <f t="shared" si="1"/>
        <v>461</v>
      </c>
      <c r="H13" s="153">
        <f t="shared" si="1"/>
        <v>359</v>
      </c>
      <c r="I13" s="153">
        <f t="shared" si="1"/>
        <v>274</v>
      </c>
      <c r="J13" s="153">
        <f t="shared" si="1"/>
        <v>206</v>
      </c>
      <c r="K13" s="153">
        <f t="shared" si="1"/>
        <v>154</v>
      </c>
      <c r="L13" s="153">
        <f t="shared" si="1"/>
        <v>116</v>
      </c>
      <c r="M13" s="153">
        <f t="shared" si="1"/>
        <v>87</v>
      </c>
      <c r="N13" s="136"/>
      <c r="O13" s="136"/>
    </row>
    <row r="14" spans="1:15" x14ac:dyDescent="0.2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</row>
    <row r="18" spans="8:9" x14ac:dyDescent="0.25">
      <c r="H18" t="s">
        <v>71</v>
      </c>
    </row>
    <row r="19" spans="8:9" x14ac:dyDescent="0.25">
      <c r="H19" t="s">
        <v>13</v>
      </c>
      <c r="I19">
        <v>549</v>
      </c>
    </row>
    <row r="20" spans="8:9" x14ac:dyDescent="0.25">
      <c r="H20" t="s">
        <v>49</v>
      </c>
      <c r="I20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Heat Levels</vt:lpstr>
      <vt:lpstr>NTC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 Casanova</cp:lastModifiedBy>
  <dcterms:created xsi:type="dcterms:W3CDTF">2015-06-05T18:17:20Z</dcterms:created>
  <dcterms:modified xsi:type="dcterms:W3CDTF">2020-04-26T05:23:54Z</dcterms:modified>
</cp:coreProperties>
</file>