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casanovg\source\Repos\GitHub\open-boiler\electronics\worksheets\"/>
    </mc:Choice>
  </mc:AlternateContent>
  <xr:revisionPtr revIDLastSave="0" documentId="13_ncr:1_{00DDDF57-45CF-4297-AFAD-92CF74613E07}" xr6:coauthVersionLast="45" xr6:coauthVersionMax="45" xr10:uidLastSave="{00000000-0000-0000-0000-000000000000}"/>
  <bookViews>
    <workbookView xWindow="-120" yWindow="-120" windowWidth="25440" windowHeight="15390" firstSheet="3" activeTab="7" xr2:uid="{00000000-000D-0000-FFFF-FFFF00000000}"/>
  </bookViews>
  <sheets>
    <sheet name="T7335D Datasheet" sheetId="4" r:id="rId1"/>
    <sheet name="Test Sep 30" sheetId="12" r:id="rId2"/>
    <sheet name="Roca Repair Manual" sheetId="1" r:id="rId3"/>
    <sheet name="CH Test Setup" sheetId="3" r:id="rId4"/>
    <sheet name="DHW Test Setup" sheetId="13" r:id="rId5"/>
    <sheet name="Detail" sheetId="5" r:id="rId6"/>
    <sheet name="Power combinations" sheetId="6" r:id="rId7"/>
    <sheet name="Heat Levels" sheetId="15" r:id="rId8"/>
    <sheet name="NTC table" sheetId="14" r:id="rId9"/>
  </sheets>
  <definedNames>
    <definedName name="_xlnm._FilterDatabase" localSheetId="7" hidden="1">'Heat Levels'!$B$8:$G$8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5" l="1"/>
  <c r="M4" i="15" s="1"/>
  <c r="N4" i="15" s="1"/>
  <c r="O4" i="15" s="1"/>
  <c r="O36" i="15"/>
  <c r="N36" i="15"/>
  <c r="Q36" i="15" s="1"/>
  <c r="I36" i="15"/>
  <c r="O35" i="15"/>
  <c r="N35" i="15"/>
  <c r="Q35" i="15" s="1"/>
  <c r="I35" i="15"/>
  <c r="O34" i="15"/>
  <c r="N34" i="15"/>
  <c r="Q34" i="15" s="1"/>
  <c r="I34" i="15"/>
  <c r="O33" i="15"/>
  <c r="N33" i="15"/>
  <c r="Q33" i="15" s="1"/>
  <c r="I33" i="15"/>
  <c r="O32" i="15"/>
  <c r="N32" i="15"/>
  <c r="Q32" i="15" s="1"/>
  <c r="I32" i="15"/>
  <c r="O31" i="15"/>
  <c r="N31" i="15"/>
  <c r="Q31" i="15" s="1"/>
  <c r="I31" i="15"/>
  <c r="O30" i="15"/>
  <c r="N30" i="15"/>
  <c r="Q30" i="15" s="1"/>
  <c r="I30" i="15"/>
  <c r="O29" i="15"/>
  <c r="N29" i="15"/>
  <c r="Q29" i="15" s="1"/>
  <c r="I29" i="15"/>
  <c r="O28" i="15"/>
  <c r="N28" i="15"/>
  <c r="Q28" i="15" s="1"/>
  <c r="I28" i="15"/>
  <c r="O27" i="15"/>
  <c r="N27" i="15"/>
  <c r="Q27" i="15" s="1"/>
  <c r="I27" i="15"/>
  <c r="O26" i="15"/>
  <c r="N26" i="15"/>
  <c r="Q26" i="15" s="1"/>
  <c r="I26" i="15"/>
  <c r="O25" i="15"/>
  <c r="N25" i="15"/>
  <c r="Q25" i="15" s="1"/>
  <c r="I25" i="15"/>
  <c r="O24" i="15"/>
  <c r="N24" i="15"/>
  <c r="Q24" i="15" s="1"/>
  <c r="I24" i="15"/>
  <c r="O23" i="15"/>
  <c r="N23" i="15"/>
  <c r="Q23" i="15" s="1"/>
  <c r="I23" i="15"/>
  <c r="O22" i="15"/>
  <c r="N22" i="15"/>
  <c r="Q22" i="15" s="1"/>
  <c r="I22" i="15"/>
  <c r="O21" i="15"/>
  <c r="N21" i="15"/>
  <c r="Q21" i="15" s="1"/>
  <c r="I21" i="15"/>
  <c r="O20" i="15"/>
  <c r="N20" i="15"/>
  <c r="Q20" i="15" s="1"/>
  <c r="I20" i="15"/>
  <c r="O19" i="15"/>
  <c r="N19" i="15"/>
  <c r="Q19" i="15" s="1"/>
  <c r="I19" i="15"/>
  <c r="O18" i="15"/>
  <c r="N18" i="15"/>
  <c r="Q18" i="15" s="1"/>
  <c r="I18" i="15"/>
  <c r="O17" i="15"/>
  <c r="N17" i="15"/>
  <c r="Q17" i="15" s="1"/>
  <c r="I17" i="15"/>
  <c r="O16" i="15"/>
  <c r="N16" i="15"/>
  <c r="Q16" i="15" s="1"/>
  <c r="I16" i="15"/>
  <c r="O15" i="15"/>
  <c r="N15" i="15"/>
  <c r="Q15" i="15" s="1"/>
  <c r="I15" i="15"/>
  <c r="O14" i="15"/>
  <c r="N14" i="15"/>
  <c r="Q14" i="15" s="1"/>
  <c r="I14" i="15"/>
  <c r="O13" i="15"/>
  <c r="N13" i="15"/>
  <c r="Q13" i="15" s="1"/>
  <c r="I13" i="15"/>
  <c r="O12" i="15"/>
  <c r="N12" i="15"/>
  <c r="Q12" i="15" s="1"/>
  <c r="I12" i="15"/>
  <c r="O11" i="15"/>
  <c r="N11" i="15"/>
  <c r="Q11" i="15" s="1"/>
  <c r="I11" i="15"/>
  <c r="O10" i="15"/>
  <c r="N10" i="15"/>
  <c r="Q10" i="15" s="1"/>
  <c r="I10" i="15"/>
  <c r="O9" i="15"/>
  <c r="N9" i="15"/>
  <c r="Q9" i="15" s="1"/>
  <c r="I9" i="15"/>
  <c r="J6" i="15"/>
  <c r="I4" i="15"/>
  <c r="J4" i="15" s="1"/>
  <c r="H4" i="15"/>
  <c r="P4" i="15" l="1"/>
  <c r="O5" i="15"/>
  <c r="C13" i="14"/>
  <c r="D13" i="14"/>
  <c r="E13" i="14"/>
  <c r="F13" i="14"/>
  <c r="G13" i="14"/>
  <c r="H13" i="14"/>
  <c r="I13" i="14"/>
  <c r="J13" i="14"/>
  <c r="K13" i="14"/>
  <c r="L13" i="14"/>
  <c r="M13" i="14"/>
  <c r="B13" i="14"/>
  <c r="C7" i="14"/>
  <c r="D7" i="14"/>
  <c r="E7" i="14"/>
  <c r="F7" i="14"/>
  <c r="G7" i="14"/>
  <c r="H7" i="14"/>
  <c r="I7" i="14"/>
  <c r="J7" i="14"/>
  <c r="K7" i="14"/>
  <c r="L7" i="14"/>
  <c r="M7" i="14"/>
  <c r="B7" i="14"/>
  <c r="Q4" i="15" l="1"/>
  <c r="P5" i="15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11" i="6"/>
  <c r="G11" i="6"/>
  <c r="G5" i="6"/>
  <c r="G6" i="6"/>
  <c r="G7" i="6"/>
  <c r="G8" i="6"/>
  <c r="G9" i="6"/>
  <c r="G10" i="6"/>
  <c r="G4" i="6"/>
  <c r="F5" i="6"/>
  <c r="F6" i="6"/>
  <c r="F7" i="6"/>
  <c r="F8" i="6"/>
  <c r="F9" i="6"/>
  <c r="F10" i="6"/>
  <c r="F4" i="6"/>
  <c r="R4" i="15" l="1"/>
  <c r="Q5" i="15"/>
  <c r="G22" i="4"/>
  <c r="H22" i="4"/>
  <c r="M22" i="4" s="1"/>
  <c r="J22" i="4"/>
  <c r="C20" i="5" s="1"/>
  <c r="J148" i="5" s="1"/>
  <c r="G20" i="4"/>
  <c r="H20" i="4"/>
  <c r="M20" i="4" s="1"/>
  <c r="J20" i="4"/>
  <c r="C18" i="5" s="1"/>
  <c r="J133" i="5" s="1"/>
  <c r="G21" i="4"/>
  <c r="H21" i="4"/>
  <c r="M21" i="4" s="1"/>
  <c r="J21" i="4"/>
  <c r="C19" i="5" s="1"/>
  <c r="J143" i="5" s="1"/>
  <c r="R5" i="15" l="1"/>
  <c r="S4" i="15"/>
  <c r="F19" i="5"/>
  <c r="G19" i="5" s="1"/>
  <c r="O21" i="4"/>
  <c r="F20" i="5"/>
  <c r="G20" i="5" s="1"/>
  <c r="O22" i="4"/>
  <c r="F18" i="5"/>
  <c r="G18" i="5" s="1"/>
  <c r="O20" i="4"/>
  <c r="B20" i="5"/>
  <c r="B19" i="5"/>
  <c r="L22" i="4"/>
  <c r="E20" i="5" s="1"/>
  <c r="K22" i="4"/>
  <c r="K20" i="4"/>
  <c r="L21" i="4"/>
  <c r="E19" i="5" s="1"/>
  <c r="T4" i="15" l="1"/>
  <c r="S5" i="15"/>
  <c r="P22" i="4"/>
  <c r="P21" i="4"/>
  <c r="D18" i="5"/>
  <c r="K148" i="5"/>
  <c r="L148" i="5" s="1"/>
  <c r="D20" i="5"/>
  <c r="N22" i="4"/>
  <c r="K21" i="4"/>
  <c r="L20" i="4"/>
  <c r="E18" i="5" s="1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19" i="4"/>
  <c r="C17" i="5" s="1"/>
  <c r="H19" i="4"/>
  <c r="G19" i="4"/>
  <c r="J18" i="4"/>
  <c r="C16" i="5" s="1"/>
  <c r="H18" i="4"/>
  <c r="G18" i="4"/>
  <c r="J17" i="4"/>
  <c r="C15" i="5" s="1"/>
  <c r="H17" i="4"/>
  <c r="G17" i="4"/>
  <c r="J16" i="4"/>
  <c r="C14" i="5" s="1"/>
  <c r="H16" i="4"/>
  <c r="M16" i="4" s="1"/>
  <c r="G16" i="4"/>
  <c r="J15" i="4"/>
  <c r="C13" i="5" s="1"/>
  <c r="H15" i="4"/>
  <c r="G15" i="4"/>
  <c r="J14" i="4"/>
  <c r="C12" i="5" s="1"/>
  <c r="H14" i="4"/>
  <c r="M14" i="4" s="1"/>
  <c r="G14" i="4"/>
  <c r="J13" i="4"/>
  <c r="C11" i="5" s="1"/>
  <c r="H13" i="4"/>
  <c r="M13" i="4" s="1"/>
  <c r="G13" i="4"/>
  <c r="J12" i="4"/>
  <c r="C10" i="5" s="1"/>
  <c r="H12" i="4"/>
  <c r="M12" i="4" s="1"/>
  <c r="G12" i="4"/>
  <c r="J11" i="4"/>
  <c r="C9" i="5" s="1"/>
  <c r="H11" i="4"/>
  <c r="G11" i="4"/>
  <c r="J10" i="4"/>
  <c r="C8" i="5" s="1"/>
  <c r="H10" i="4"/>
  <c r="M10" i="4" s="1"/>
  <c r="G10" i="4"/>
  <c r="J9" i="4"/>
  <c r="C7" i="5" s="1"/>
  <c r="H9" i="4"/>
  <c r="M9" i="4" s="1"/>
  <c r="G9" i="4"/>
  <c r="J8" i="4"/>
  <c r="C6" i="5" s="1"/>
  <c r="H8" i="4"/>
  <c r="M8" i="4" s="1"/>
  <c r="G8" i="4"/>
  <c r="J7" i="4"/>
  <c r="C5" i="5" s="1"/>
  <c r="H7" i="4"/>
  <c r="G7" i="4"/>
  <c r="J6" i="4"/>
  <c r="C4" i="5" s="1"/>
  <c r="H6" i="4"/>
  <c r="M6" i="4" s="1"/>
  <c r="G6" i="4"/>
  <c r="J5" i="4"/>
  <c r="C3" i="5" s="1"/>
  <c r="J3" i="5" s="1"/>
  <c r="H5" i="4"/>
  <c r="M5" i="4" s="1"/>
  <c r="G5" i="4"/>
  <c r="H4" i="4"/>
  <c r="G4" i="4"/>
  <c r="U4" i="15" l="1"/>
  <c r="T5" i="15"/>
  <c r="F8" i="5"/>
  <c r="G8" i="5" s="1"/>
  <c r="O10" i="4"/>
  <c r="F3" i="5"/>
  <c r="O5" i="4"/>
  <c r="F11" i="5"/>
  <c r="G11" i="5" s="1"/>
  <c r="O13" i="4"/>
  <c r="F4" i="5"/>
  <c r="G4" i="5" s="1"/>
  <c r="O6" i="4"/>
  <c r="F14" i="5"/>
  <c r="G14" i="5" s="1"/>
  <c r="O16" i="4"/>
  <c r="F12" i="5"/>
  <c r="G12" i="5" s="1"/>
  <c r="O14" i="4"/>
  <c r="P14" i="4" s="1"/>
  <c r="F7" i="5"/>
  <c r="G7" i="5" s="1"/>
  <c r="O9" i="4"/>
  <c r="F6" i="5"/>
  <c r="G6" i="5" s="1"/>
  <c r="O8" i="4"/>
  <c r="F10" i="5"/>
  <c r="G10" i="5" s="1"/>
  <c r="O12" i="4"/>
  <c r="L7" i="4"/>
  <c r="E5" i="5" s="1"/>
  <c r="M7" i="4"/>
  <c r="B6" i="5"/>
  <c r="J33" i="5"/>
  <c r="L11" i="4"/>
  <c r="E9" i="5" s="1"/>
  <c r="M11" i="4"/>
  <c r="B10" i="5"/>
  <c r="J63" i="5"/>
  <c r="L15" i="4"/>
  <c r="E13" i="5" s="1"/>
  <c r="M15" i="4"/>
  <c r="J103" i="5"/>
  <c r="B14" i="5"/>
  <c r="K40" i="4"/>
  <c r="M40" i="4" s="1"/>
  <c r="M19" i="4"/>
  <c r="J23" i="5"/>
  <c r="B5" i="5"/>
  <c r="J53" i="5"/>
  <c r="B9" i="5"/>
  <c r="J93" i="5"/>
  <c r="B13" i="5"/>
  <c r="K39" i="4"/>
  <c r="M39" i="4" s="1"/>
  <c r="M18" i="4"/>
  <c r="J123" i="5"/>
  <c r="B17" i="5"/>
  <c r="B18" i="5"/>
  <c r="L5" i="4"/>
  <c r="E3" i="5" s="1"/>
  <c r="J13" i="5"/>
  <c r="B4" i="5"/>
  <c r="J48" i="5"/>
  <c r="B8" i="5"/>
  <c r="J83" i="5"/>
  <c r="B12" i="5"/>
  <c r="K17" i="4"/>
  <c r="D15" i="5" s="1"/>
  <c r="M17" i="4"/>
  <c r="J113" i="5"/>
  <c r="B16" i="5"/>
  <c r="B7" i="5"/>
  <c r="J43" i="5"/>
  <c r="B11" i="5"/>
  <c r="J73" i="5"/>
  <c r="J108" i="5"/>
  <c r="B15" i="5"/>
  <c r="H20" i="5"/>
  <c r="D19" i="5"/>
  <c r="K133" i="5"/>
  <c r="L133" i="5" s="1"/>
  <c r="N21" i="4"/>
  <c r="L9" i="4"/>
  <c r="E7" i="5" s="1"/>
  <c r="L17" i="4"/>
  <c r="E15" i="5" s="1"/>
  <c r="K34" i="4"/>
  <c r="M34" i="4" s="1"/>
  <c r="L13" i="4"/>
  <c r="E11" i="5" s="1"/>
  <c r="L19" i="4"/>
  <c r="E17" i="5" s="1"/>
  <c r="K32" i="4"/>
  <c r="M32" i="4" s="1"/>
  <c r="K36" i="4"/>
  <c r="M36" i="4" s="1"/>
  <c r="K38" i="4"/>
  <c r="M38" i="4" s="1"/>
  <c r="K28" i="4"/>
  <c r="M28" i="4" s="1"/>
  <c r="K5" i="4"/>
  <c r="K27" i="4"/>
  <c r="M27" i="4" s="1"/>
  <c r="L8" i="4"/>
  <c r="E6" i="5" s="1"/>
  <c r="K31" i="4"/>
  <c r="M31" i="4" s="1"/>
  <c r="L12" i="4"/>
  <c r="E10" i="5" s="1"/>
  <c r="K35" i="4"/>
  <c r="M35" i="4" s="1"/>
  <c r="L16" i="4"/>
  <c r="E14" i="5" s="1"/>
  <c r="K26" i="4"/>
  <c r="M26" i="4" s="1"/>
  <c r="K7" i="4"/>
  <c r="K9" i="4"/>
  <c r="K11" i="4"/>
  <c r="K13" i="4"/>
  <c r="K15" i="4"/>
  <c r="K19" i="4"/>
  <c r="K30" i="4"/>
  <c r="M30" i="4" s="1"/>
  <c r="K29" i="4"/>
  <c r="M29" i="4" s="1"/>
  <c r="K33" i="4"/>
  <c r="M33" i="4" s="1"/>
  <c r="K37" i="4"/>
  <c r="M37" i="4" s="1"/>
  <c r="K6" i="4"/>
  <c r="K8" i="4"/>
  <c r="K10" i="4"/>
  <c r="K12" i="4"/>
  <c r="K14" i="4"/>
  <c r="K16" i="4"/>
  <c r="K18" i="4"/>
  <c r="L6" i="4"/>
  <c r="E4" i="5" s="1"/>
  <c r="L10" i="4"/>
  <c r="E8" i="5" s="1"/>
  <c r="L14" i="4"/>
  <c r="E12" i="5" s="1"/>
  <c r="L18" i="4"/>
  <c r="E16" i="5" s="1"/>
  <c r="H4" i="1"/>
  <c r="U5" i="15" l="1"/>
  <c r="V4" i="15"/>
  <c r="P6" i="4"/>
  <c r="F15" i="5"/>
  <c r="G15" i="5" s="1"/>
  <c r="K108" i="5" s="1"/>
  <c r="L108" i="5" s="1"/>
  <c r="O17" i="4"/>
  <c r="P17" i="4" s="1"/>
  <c r="F17" i="5"/>
  <c r="G17" i="5" s="1"/>
  <c r="O19" i="4"/>
  <c r="F5" i="5"/>
  <c r="G5" i="5" s="1"/>
  <c r="H5" i="5" s="1"/>
  <c r="O7" i="4"/>
  <c r="P7" i="4" s="1"/>
  <c r="F13" i="5"/>
  <c r="G13" i="5" s="1"/>
  <c r="O15" i="4"/>
  <c r="P15" i="4" s="1"/>
  <c r="P9" i="4"/>
  <c r="P13" i="4"/>
  <c r="P10" i="4"/>
  <c r="F16" i="5"/>
  <c r="G16" i="5" s="1"/>
  <c r="K113" i="5" s="1"/>
  <c r="O18" i="4"/>
  <c r="F9" i="5"/>
  <c r="G9" i="5" s="1"/>
  <c r="O11" i="4"/>
  <c r="P11" i="4" s="1"/>
  <c r="H19" i="5"/>
  <c r="K134" i="5" s="1"/>
  <c r="K135" i="5" s="1"/>
  <c r="K143" i="5"/>
  <c r="D9" i="5"/>
  <c r="D10" i="5"/>
  <c r="D16" i="5"/>
  <c r="D7" i="5"/>
  <c r="N12" i="4"/>
  <c r="G3" i="5"/>
  <c r="K3" i="5" s="1"/>
  <c r="L3" i="5" s="1"/>
  <c r="D3" i="5"/>
  <c r="H15" i="5"/>
  <c r="D14" i="5"/>
  <c r="D6" i="5"/>
  <c r="D13" i="5"/>
  <c r="D5" i="5"/>
  <c r="D8" i="5"/>
  <c r="H18" i="5"/>
  <c r="D17" i="5"/>
  <c r="D12" i="5"/>
  <c r="K13" i="5"/>
  <c r="D4" i="5"/>
  <c r="N20" i="4"/>
  <c r="D11" i="5"/>
  <c r="N14" i="4"/>
  <c r="N10" i="4"/>
  <c r="N16" i="4"/>
  <c r="N8" i="4"/>
  <c r="N18" i="4"/>
  <c r="N11" i="4"/>
  <c r="N13" i="4"/>
  <c r="N19" i="4"/>
  <c r="N17" i="4"/>
  <c r="N6" i="4"/>
  <c r="N7" i="4"/>
  <c r="N15" i="4"/>
  <c r="N9" i="4"/>
  <c r="G4" i="1"/>
  <c r="G6" i="1"/>
  <c r="H6" i="1"/>
  <c r="K6" i="1" s="1"/>
  <c r="G7" i="1"/>
  <c r="H7" i="1"/>
  <c r="K7" i="1" s="1"/>
  <c r="G8" i="1"/>
  <c r="H8" i="1"/>
  <c r="K8" i="1" s="1"/>
  <c r="G9" i="1"/>
  <c r="H9" i="1"/>
  <c r="K9" i="1" s="1"/>
  <c r="G10" i="1"/>
  <c r="H10" i="1"/>
  <c r="K10" i="1" s="1"/>
  <c r="G11" i="1"/>
  <c r="H11" i="1"/>
  <c r="K11" i="1" s="1"/>
  <c r="G12" i="1"/>
  <c r="H12" i="1"/>
  <c r="K12" i="1" s="1"/>
  <c r="G13" i="1"/>
  <c r="H13" i="1"/>
  <c r="K13" i="1" s="1"/>
  <c r="G14" i="1"/>
  <c r="H14" i="1"/>
  <c r="K14" i="1" s="1"/>
  <c r="G15" i="1"/>
  <c r="H15" i="1"/>
  <c r="K15" i="1" s="1"/>
  <c r="G16" i="1"/>
  <c r="H16" i="1"/>
  <c r="K16" i="1" s="1"/>
  <c r="G17" i="1"/>
  <c r="H17" i="1"/>
  <c r="K17" i="1" s="1"/>
  <c r="G18" i="1"/>
  <c r="H18" i="1"/>
  <c r="K18" i="1" s="1"/>
  <c r="H5" i="1"/>
  <c r="K5" i="1" s="1"/>
  <c r="G5" i="1"/>
  <c r="V5" i="15" l="1"/>
  <c r="W4" i="15"/>
  <c r="P18" i="4"/>
  <c r="P16" i="4"/>
  <c r="P8" i="4"/>
  <c r="P12" i="4"/>
  <c r="P19" i="4"/>
  <c r="P20" i="4"/>
  <c r="H13" i="5"/>
  <c r="H9" i="5"/>
  <c r="H11" i="5"/>
  <c r="K43" i="5"/>
  <c r="L43" i="5" s="1"/>
  <c r="H8" i="5"/>
  <c r="K53" i="5"/>
  <c r="L53" i="5" s="1"/>
  <c r="H10" i="5"/>
  <c r="K93" i="5"/>
  <c r="H14" i="5"/>
  <c r="K23" i="5"/>
  <c r="L23" i="5" s="1"/>
  <c r="H6" i="5"/>
  <c r="K33" i="5"/>
  <c r="L33" i="5" s="1"/>
  <c r="H7" i="5"/>
  <c r="K73" i="5"/>
  <c r="L73" i="5" s="1"/>
  <c r="H12" i="5"/>
  <c r="H17" i="5"/>
  <c r="K114" i="5" s="1"/>
  <c r="K103" i="5"/>
  <c r="K104" i="5" s="1"/>
  <c r="H16" i="5"/>
  <c r="K109" i="5" s="1"/>
  <c r="L134" i="5"/>
  <c r="N134" i="5" s="1"/>
  <c r="H4" i="5"/>
  <c r="K4" i="5" s="1"/>
  <c r="L143" i="5"/>
  <c r="K144" i="5"/>
  <c r="K14" i="5"/>
  <c r="L13" i="5"/>
  <c r="K83" i="5"/>
  <c r="K84" i="5" s="1"/>
  <c r="K85" i="5" s="1"/>
  <c r="L113" i="5"/>
  <c r="K136" i="5"/>
  <c r="L135" i="5"/>
  <c r="K48" i="5"/>
  <c r="K123" i="5"/>
  <c r="L123" i="5" s="1"/>
  <c r="K63" i="5"/>
  <c r="X4" i="15" l="1"/>
  <c r="W5" i="15"/>
  <c r="L103" i="5"/>
  <c r="M134" i="5"/>
  <c r="K34" i="5"/>
  <c r="K35" i="5" s="1"/>
  <c r="K44" i="5"/>
  <c r="K45" i="5" s="1"/>
  <c r="K24" i="5"/>
  <c r="K25" i="5" s="1"/>
  <c r="K54" i="5"/>
  <c r="L54" i="5" s="1"/>
  <c r="N135" i="5"/>
  <c r="K86" i="5"/>
  <c r="L85" i="5"/>
  <c r="L144" i="5"/>
  <c r="K145" i="5"/>
  <c r="K124" i="5"/>
  <c r="L124" i="5" s="1"/>
  <c r="M135" i="5"/>
  <c r="L48" i="5"/>
  <c r="K49" i="5"/>
  <c r="K115" i="5"/>
  <c r="L114" i="5"/>
  <c r="K74" i="5"/>
  <c r="L14" i="5"/>
  <c r="K15" i="5"/>
  <c r="L84" i="5"/>
  <c r="K137" i="5"/>
  <c r="L136" i="5"/>
  <c r="L63" i="5"/>
  <c r="K64" i="5"/>
  <c r="L104" i="5"/>
  <c r="K105" i="5"/>
  <c r="K5" i="5"/>
  <c r="L4" i="5"/>
  <c r="K110" i="5"/>
  <c r="L109" i="5"/>
  <c r="Y4" i="15" l="1"/>
  <c r="X5" i="15"/>
  <c r="L34" i="5"/>
  <c r="N34" i="5" s="1"/>
  <c r="K55" i="5"/>
  <c r="L55" i="5" s="1"/>
  <c r="L44" i="5"/>
  <c r="N44" i="5" s="1"/>
  <c r="L24" i="5"/>
  <c r="N24" i="5" s="1"/>
  <c r="K87" i="5"/>
  <c r="L86" i="5"/>
  <c r="L93" i="5"/>
  <c r="K94" i="5"/>
  <c r="K125" i="5"/>
  <c r="L125" i="5" s="1"/>
  <c r="L145" i="5"/>
  <c r="K146" i="5"/>
  <c r="M144" i="5"/>
  <c r="N144" i="5"/>
  <c r="M4" i="5"/>
  <c r="N4" i="5"/>
  <c r="N54" i="5"/>
  <c r="M54" i="5"/>
  <c r="M136" i="5"/>
  <c r="N136" i="5"/>
  <c r="M34" i="5"/>
  <c r="L5" i="5"/>
  <c r="K6" i="5"/>
  <c r="K56" i="5"/>
  <c r="K138" i="5"/>
  <c r="L137" i="5"/>
  <c r="K16" i="5"/>
  <c r="L15" i="5"/>
  <c r="N109" i="5"/>
  <c r="M109" i="5"/>
  <c r="K106" i="5"/>
  <c r="L105" i="5"/>
  <c r="L64" i="5"/>
  <c r="K65" i="5"/>
  <c r="M44" i="5"/>
  <c r="N14" i="5"/>
  <c r="M14" i="5"/>
  <c r="N114" i="5"/>
  <c r="M114" i="5"/>
  <c r="K50" i="5"/>
  <c r="L49" i="5"/>
  <c r="K111" i="5"/>
  <c r="L110" i="5"/>
  <c r="N104" i="5"/>
  <c r="M104" i="5"/>
  <c r="L45" i="5"/>
  <c r="K46" i="5"/>
  <c r="K36" i="5"/>
  <c r="L35" i="5"/>
  <c r="L74" i="5"/>
  <c r="K75" i="5"/>
  <c r="L115" i="5"/>
  <c r="K116" i="5"/>
  <c r="K26" i="5"/>
  <c r="L25" i="5"/>
  <c r="M124" i="5"/>
  <c r="N124" i="5"/>
  <c r="L83" i="5"/>
  <c r="Z4" i="15" l="1"/>
  <c r="Y5" i="15"/>
  <c r="M24" i="5"/>
  <c r="K126" i="5"/>
  <c r="K127" i="5" s="1"/>
  <c r="K88" i="5"/>
  <c r="L87" i="5"/>
  <c r="K95" i="5"/>
  <c r="L94" i="5"/>
  <c r="M94" i="5" s="1"/>
  <c r="M145" i="5"/>
  <c r="N145" i="5"/>
  <c r="K147" i="5"/>
  <c r="L147" i="5" s="1"/>
  <c r="L146" i="5"/>
  <c r="L126" i="5"/>
  <c r="L75" i="5"/>
  <c r="K76" i="5"/>
  <c r="N110" i="5"/>
  <c r="M110" i="5"/>
  <c r="K66" i="5"/>
  <c r="L65" i="5"/>
  <c r="N15" i="5"/>
  <c r="M15" i="5"/>
  <c r="M137" i="5"/>
  <c r="N137" i="5"/>
  <c r="K7" i="5"/>
  <c r="L6" i="5"/>
  <c r="N125" i="5"/>
  <c r="M125" i="5"/>
  <c r="M74" i="5"/>
  <c r="N74" i="5"/>
  <c r="M45" i="5"/>
  <c r="N45" i="5"/>
  <c r="L111" i="5"/>
  <c r="K112" i="5"/>
  <c r="L112" i="5" s="1"/>
  <c r="K51" i="5"/>
  <c r="L50" i="5"/>
  <c r="M64" i="5"/>
  <c r="N64" i="5"/>
  <c r="L16" i="5"/>
  <c r="K17" i="5"/>
  <c r="K139" i="5"/>
  <c r="L138" i="5"/>
  <c r="N5" i="5"/>
  <c r="M5" i="5"/>
  <c r="N105" i="5"/>
  <c r="M105" i="5"/>
  <c r="N55" i="5"/>
  <c r="M55" i="5"/>
  <c r="L46" i="5"/>
  <c r="K47" i="5"/>
  <c r="L47" i="5" s="1"/>
  <c r="M49" i="5"/>
  <c r="N49" i="5"/>
  <c r="M25" i="5"/>
  <c r="N25" i="5"/>
  <c r="K117" i="5"/>
  <c r="L116" i="5"/>
  <c r="N35" i="5"/>
  <c r="M35" i="5"/>
  <c r="K27" i="5"/>
  <c r="L26" i="5"/>
  <c r="M115" i="5"/>
  <c r="N115" i="5"/>
  <c r="K37" i="5"/>
  <c r="L36" i="5"/>
  <c r="L106" i="5"/>
  <c r="K107" i="5"/>
  <c r="L107" i="5" s="1"/>
  <c r="N85" i="5"/>
  <c r="M85" i="5"/>
  <c r="K57" i="5"/>
  <c r="L56" i="5"/>
  <c r="N84" i="5"/>
  <c r="M84" i="5"/>
  <c r="Z5" i="15" l="1"/>
  <c r="AA4" i="15"/>
  <c r="K89" i="5"/>
  <c r="L88" i="5"/>
  <c r="N94" i="5"/>
  <c r="K96" i="5"/>
  <c r="L95" i="5"/>
  <c r="M146" i="5"/>
  <c r="N146" i="5"/>
  <c r="N147" i="5"/>
  <c r="N148" i="5"/>
  <c r="M148" i="5"/>
  <c r="M147" i="5"/>
  <c r="M107" i="5"/>
  <c r="M108" i="5"/>
  <c r="N108" i="5"/>
  <c r="N107" i="5"/>
  <c r="N50" i="5"/>
  <c r="M50" i="5"/>
  <c r="L57" i="5"/>
  <c r="K58" i="5"/>
  <c r="L117" i="5"/>
  <c r="K118" i="5"/>
  <c r="N16" i="5"/>
  <c r="M16" i="5"/>
  <c r="K52" i="5"/>
  <c r="L52" i="5" s="1"/>
  <c r="L51" i="5"/>
  <c r="L66" i="5"/>
  <c r="K67" i="5"/>
  <c r="M75" i="5"/>
  <c r="N75" i="5"/>
  <c r="N56" i="5"/>
  <c r="M56" i="5"/>
  <c r="M26" i="5"/>
  <c r="N26" i="5"/>
  <c r="K18" i="5"/>
  <c r="L17" i="5"/>
  <c r="N65" i="5"/>
  <c r="M65" i="5"/>
  <c r="K38" i="5"/>
  <c r="L37" i="5"/>
  <c r="L27" i="5"/>
  <c r="K28" i="5"/>
  <c r="M47" i="5"/>
  <c r="N47" i="5"/>
  <c r="M48" i="5"/>
  <c r="N48" i="5"/>
  <c r="M138" i="5"/>
  <c r="N138" i="5"/>
  <c r="N112" i="5"/>
  <c r="M112" i="5"/>
  <c r="M113" i="5"/>
  <c r="N113" i="5"/>
  <c r="N6" i="5"/>
  <c r="M6" i="5"/>
  <c r="L127" i="5"/>
  <c r="K128" i="5"/>
  <c r="N36" i="5"/>
  <c r="M36" i="5"/>
  <c r="M116" i="5"/>
  <c r="N116" i="5"/>
  <c r="K77" i="5"/>
  <c r="L76" i="5"/>
  <c r="M106" i="5"/>
  <c r="N106" i="5"/>
  <c r="M46" i="5"/>
  <c r="N46" i="5"/>
  <c r="N86" i="5"/>
  <c r="M86" i="5"/>
  <c r="K140" i="5"/>
  <c r="L139" i="5"/>
  <c r="N111" i="5"/>
  <c r="M111" i="5"/>
  <c r="K8" i="5"/>
  <c r="L7" i="5"/>
  <c r="N126" i="5"/>
  <c r="M126" i="5"/>
  <c r="AB4" i="15" l="1"/>
  <c r="AA5" i="15"/>
  <c r="L89" i="5"/>
  <c r="K90" i="5"/>
  <c r="M95" i="5"/>
  <c r="N95" i="5"/>
  <c r="K97" i="5"/>
  <c r="L96" i="5"/>
  <c r="M7" i="5"/>
  <c r="N7" i="5"/>
  <c r="K59" i="5"/>
  <c r="L58" i="5"/>
  <c r="K9" i="5"/>
  <c r="L8" i="5"/>
  <c r="K141" i="5"/>
  <c r="L140" i="5"/>
  <c r="K78" i="5"/>
  <c r="L77" i="5"/>
  <c r="M87" i="5"/>
  <c r="N87" i="5"/>
  <c r="K39" i="5"/>
  <c r="L38" i="5"/>
  <c r="K19" i="5"/>
  <c r="L18" i="5"/>
  <c r="N66" i="5"/>
  <c r="M66" i="5"/>
  <c r="M57" i="5"/>
  <c r="N57" i="5"/>
  <c r="N37" i="5"/>
  <c r="M37" i="5"/>
  <c r="K129" i="5"/>
  <c r="L128" i="5"/>
  <c r="L28" i="5"/>
  <c r="K29" i="5"/>
  <c r="N51" i="5"/>
  <c r="M51" i="5"/>
  <c r="L118" i="5"/>
  <c r="K119" i="5"/>
  <c r="M139" i="5"/>
  <c r="N139" i="5"/>
  <c r="N76" i="5"/>
  <c r="M76" i="5"/>
  <c r="N17" i="5"/>
  <c r="M17" i="5"/>
  <c r="L67" i="5"/>
  <c r="K68" i="5"/>
  <c r="N127" i="5"/>
  <c r="M127" i="5"/>
  <c r="N27" i="5"/>
  <c r="M27" i="5"/>
  <c r="N53" i="5"/>
  <c r="M53" i="5"/>
  <c r="N52" i="5"/>
  <c r="M52" i="5"/>
  <c r="N117" i="5"/>
  <c r="M117" i="5"/>
  <c r="AC4" i="15" l="1"/>
  <c r="AB5" i="15"/>
  <c r="K91" i="5"/>
  <c r="L90" i="5"/>
  <c r="N96" i="5"/>
  <c r="M96" i="5"/>
  <c r="K98" i="5"/>
  <c r="L97" i="5"/>
  <c r="N67" i="5"/>
  <c r="M67" i="5"/>
  <c r="N118" i="5"/>
  <c r="M118" i="5"/>
  <c r="M28" i="5"/>
  <c r="N28" i="5"/>
  <c r="L39" i="5"/>
  <c r="K40" i="5"/>
  <c r="L78" i="5"/>
  <c r="K79" i="5"/>
  <c r="K10" i="5"/>
  <c r="L9" i="5"/>
  <c r="K69" i="5"/>
  <c r="L68" i="5"/>
  <c r="K120" i="5"/>
  <c r="L119" i="5"/>
  <c r="K30" i="5"/>
  <c r="L29" i="5"/>
  <c r="M77" i="5"/>
  <c r="N77" i="5"/>
  <c r="M88" i="5"/>
  <c r="N88" i="5"/>
  <c r="N128" i="5"/>
  <c r="M128" i="5"/>
  <c r="M18" i="5"/>
  <c r="N18" i="5"/>
  <c r="N140" i="5"/>
  <c r="M140" i="5"/>
  <c r="M58" i="5"/>
  <c r="N58" i="5"/>
  <c r="N38" i="5"/>
  <c r="M38" i="5"/>
  <c r="N8" i="5"/>
  <c r="M8" i="5"/>
  <c r="L129" i="5"/>
  <c r="K130" i="5"/>
  <c r="L19" i="5"/>
  <c r="K20" i="5"/>
  <c r="K142" i="5"/>
  <c r="L142" i="5" s="1"/>
  <c r="L141" i="5"/>
  <c r="K60" i="5"/>
  <c r="L59" i="5"/>
  <c r="AC5" i="15" l="1"/>
  <c r="AD4" i="15"/>
  <c r="L91" i="5"/>
  <c r="K92" i="5"/>
  <c r="L92" i="5" s="1"/>
  <c r="L98" i="5"/>
  <c r="K99" i="5"/>
  <c r="N97" i="5"/>
  <c r="M97" i="5"/>
  <c r="N59" i="5"/>
  <c r="M59" i="5"/>
  <c r="K21" i="5"/>
  <c r="L20" i="5"/>
  <c r="M89" i="5"/>
  <c r="N89" i="5"/>
  <c r="K61" i="5"/>
  <c r="L60" i="5"/>
  <c r="K131" i="5"/>
  <c r="L130" i="5"/>
  <c r="M9" i="5"/>
  <c r="N9" i="5"/>
  <c r="M119" i="5"/>
  <c r="N119" i="5"/>
  <c r="L79" i="5"/>
  <c r="K80" i="5"/>
  <c r="N19" i="5"/>
  <c r="M19" i="5"/>
  <c r="K121" i="5"/>
  <c r="L120" i="5"/>
  <c r="N78" i="5"/>
  <c r="M78" i="5"/>
  <c r="M142" i="5"/>
  <c r="M141" i="5"/>
  <c r="N141" i="5"/>
  <c r="N29" i="5"/>
  <c r="M29" i="5"/>
  <c r="M68" i="5"/>
  <c r="N68" i="5"/>
  <c r="K41" i="5"/>
  <c r="L40" i="5"/>
  <c r="N142" i="5"/>
  <c r="N143" i="5"/>
  <c r="M143" i="5"/>
  <c r="N129" i="5"/>
  <c r="M129" i="5"/>
  <c r="L30" i="5"/>
  <c r="K31" i="5"/>
  <c r="K70" i="5"/>
  <c r="L69" i="5"/>
  <c r="L10" i="5"/>
  <c r="K11" i="5"/>
  <c r="N39" i="5"/>
  <c r="M39" i="5"/>
  <c r="AD5" i="15" l="1"/>
  <c r="AE4" i="15"/>
  <c r="L99" i="5"/>
  <c r="K100" i="5"/>
  <c r="M98" i="5"/>
  <c r="N98" i="5"/>
  <c r="K81" i="5"/>
  <c r="L80" i="5"/>
  <c r="N90" i="5"/>
  <c r="M90" i="5"/>
  <c r="N10" i="5"/>
  <c r="M10" i="5"/>
  <c r="K12" i="5"/>
  <c r="L12" i="5" s="1"/>
  <c r="L11" i="5"/>
  <c r="K32" i="5"/>
  <c r="L32" i="5" s="1"/>
  <c r="L31" i="5"/>
  <c r="L41" i="5"/>
  <c r="K42" i="5"/>
  <c r="L42" i="5" s="1"/>
  <c r="M20" i="5"/>
  <c r="N20" i="5"/>
  <c r="M30" i="5"/>
  <c r="N30" i="5"/>
  <c r="M79" i="5"/>
  <c r="N79" i="5"/>
  <c r="K22" i="5"/>
  <c r="L22" i="5" s="1"/>
  <c r="L21" i="5"/>
  <c r="M69" i="5"/>
  <c r="N69" i="5"/>
  <c r="N120" i="5"/>
  <c r="M120" i="5"/>
  <c r="N130" i="5"/>
  <c r="M130" i="5"/>
  <c r="N60" i="5"/>
  <c r="M60" i="5"/>
  <c r="K71" i="5"/>
  <c r="L70" i="5"/>
  <c r="N40" i="5"/>
  <c r="M40" i="5"/>
  <c r="K122" i="5"/>
  <c r="L122" i="5" s="1"/>
  <c r="L121" i="5"/>
  <c r="K132" i="5"/>
  <c r="L132" i="5" s="1"/>
  <c r="L131" i="5"/>
  <c r="K62" i="5"/>
  <c r="L62" i="5" s="1"/>
  <c r="L61" i="5"/>
  <c r="AF4" i="15" l="1"/>
  <c r="AE5" i="15"/>
  <c r="K101" i="5"/>
  <c r="L100" i="5"/>
  <c r="N99" i="5"/>
  <c r="M99" i="5"/>
  <c r="N131" i="5"/>
  <c r="M131" i="5"/>
  <c r="M21" i="5"/>
  <c r="N21" i="5"/>
  <c r="M11" i="5"/>
  <c r="N11" i="5"/>
  <c r="M23" i="5"/>
  <c r="M22" i="5"/>
  <c r="N23" i="5"/>
  <c r="N22" i="5"/>
  <c r="M41" i="5"/>
  <c r="N41" i="5"/>
  <c r="M12" i="5"/>
  <c r="N13" i="5"/>
  <c r="M13" i="5"/>
  <c r="N12" i="5"/>
  <c r="M43" i="5"/>
  <c r="M42" i="5"/>
  <c r="N43" i="5"/>
  <c r="N42" i="5"/>
  <c r="M133" i="5"/>
  <c r="N133" i="5"/>
  <c r="M132" i="5"/>
  <c r="N132" i="5"/>
  <c r="N121" i="5"/>
  <c r="M121" i="5"/>
  <c r="N91" i="5"/>
  <c r="M91" i="5"/>
  <c r="N31" i="5"/>
  <c r="M31" i="5"/>
  <c r="M80" i="5"/>
  <c r="N80" i="5"/>
  <c r="M61" i="5"/>
  <c r="N61" i="5"/>
  <c r="N70" i="5"/>
  <c r="M70" i="5"/>
  <c r="M62" i="5"/>
  <c r="N63" i="5"/>
  <c r="N62" i="5"/>
  <c r="M63" i="5"/>
  <c r="N122" i="5"/>
  <c r="M123" i="5"/>
  <c r="M122" i="5"/>
  <c r="N123" i="5"/>
  <c r="K72" i="5"/>
  <c r="L72" i="5" s="1"/>
  <c r="L71" i="5"/>
  <c r="M93" i="5"/>
  <c r="N93" i="5"/>
  <c r="M92" i="5"/>
  <c r="N92" i="5"/>
  <c r="M33" i="5"/>
  <c r="N32" i="5"/>
  <c r="M32" i="5"/>
  <c r="N33" i="5"/>
  <c r="L81" i="5"/>
  <c r="K82" i="5"/>
  <c r="L82" i="5" s="1"/>
  <c r="AG4" i="15" l="1"/>
  <c r="AF5" i="15"/>
  <c r="N100" i="5"/>
  <c r="M100" i="5"/>
  <c r="K102" i="5"/>
  <c r="L102" i="5" s="1"/>
  <c r="L101" i="5"/>
  <c r="M83" i="5"/>
  <c r="M82" i="5"/>
  <c r="N82" i="5"/>
  <c r="N83" i="5"/>
  <c r="N81" i="5"/>
  <c r="M81" i="5"/>
  <c r="N71" i="5"/>
  <c r="M71" i="5"/>
  <c r="M72" i="5"/>
  <c r="M73" i="5"/>
  <c r="N72" i="5"/>
  <c r="N73" i="5"/>
  <c r="AG5" i="15" l="1"/>
  <c r="AH4" i="15"/>
  <c r="M101" i="5"/>
  <c r="N101" i="5"/>
  <c r="M103" i="5"/>
  <c r="N103" i="5"/>
  <c r="N102" i="5"/>
  <c r="M102" i="5"/>
  <c r="AH5" i="15" l="1"/>
  <c r="AI4" i="15"/>
  <c r="AJ4" i="15" l="1"/>
  <c r="AI5" i="15"/>
  <c r="AK4" i="15" l="1"/>
  <c r="AJ5" i="15"/>
  <c r="AL4" i="15" l="1"/>
  <c r="AK5" i="15"/>
  <c r="AL5" i="15" l="1"/>
  <c r="AM4" i="15"/>
  <c r="AN4" i="15" l="1"/>
  <c r="AM5" i="15"/>
  <c r="AO4" i="15" l="1"/>
  <c r="AO5" i="15" s="1"/>
  <c r="AN5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</author>
  </authors>
  <commentList>
    <comment ref="K4" authorId="0" shapeId="0" xr:uid="{51D3EBF0-039F-45B3-8F5F-01FA9AA3DAC1}">
      <text>
        <r>
          <rPr>
            <b/>
            <sz val="9"/>
            <color indexed="81"/>
            <rFont val="Tahoma"/>
            <family val="2"/>
          </rPr>
          <t>Gustavo:</t>
        </r>
        <r>
          <rPr>
            <sz val="9"/>
            <color indexed="81"/>
            <rFont val="Tahoma"/>
            <family val="2"/>
          </rPr>
          <t xml:space="preserve">
NTC = R2</t>
        </r>
      </text>
    </comment>
    <comment ref="K25" authorId="0" shapeId="0" xr:uid="{8E46B6FB-0658-4DD3-9CCA-AF07001EA9D0}">
      <text>
        <r>
          <rPr>
            <b/>
            <sz val="9"/>
            <color indexed="81"/>
            <rFont val="Tahoma"/>
            <family val="2"/>
          </rPr>
          <t>Gustavo:</t>
        </r>
        <r>
          <rPr>
            <sz val="9"/>
            <color indexed="81"/>
            <rFont val="Tahoma"/>
            <family val="2"/>
          </rPr>
          <t xml:space="preserve">
NTC = R1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</author>
  </authors>
  <commentList>
    <comment ref="D2" authorId="0" shapeId="0" xr:uid="{6552284D-754D-42F6-8AA9-40D866C896B5}">
      <text>
        <r>
          <rPr>
            <b/>
            <sz val="9"/>
            <color indexed="81"/>
            <rFont val="Tahoma"/>
            <family val="2"/>
          </rPr>
          <t>Gustavo:</t>
        </r>
        <r>
          <rPr>
            <sz val="9"/>
            <color indexed="81"/>
            <rFont val="Tahoma"/>
            <family val="2"/>
          </rPr>
          <t xml:space="preserve">
NTC = R2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 Casanova</author>
  </authors>
  <commentList>
    <comment ref="F4" authorId="0" shapeId="0" xr:uid="{84830106-6B98-46CA-93CC-A32E917542A2}">
      <text>
        <r>
          <rPr>
            <b/>
            <sz val="9"/>
            <color indexed="81"/>
            <rFont val="Tahoma"/>
            <charset val="1"/>
          </rPr>
          <t>Gustavo Casanova:</t>
        </r>
        <r>
          <rPr>
            <sz val="9"/>
            <color indexed="81"/>
            <rFont val="Tahoma"/>
            <charset val="1"/>
          </rPr>
          <t xml:space="preserve">
Please enter the valve switching slots number into which the time unit (typically 10 seconds) will be divided.
E.g.: Entering 6 means that in 10 seconds there will be 6 divisions with 16.66% of the time each. That is, the minimum time that a valve will remain open or closed before it can be switched will be 16.66 seconds.
The time each valve remains open will be added and always sum 100%. For example, to obtain an "X" heat power, valve-3 could be opened 16.66% of the time, valve-2 33.32% and the valve-1 50%, the opening thereof being mutually exclusive.</t>
        </r>
      </text>
    </comment>
    <comment ref="K4" authorId="0" shapeId="0" xr:uid="{EB02EFCB-9454-4F94-8D18-CF18DDBCE09E}">
      <text>
        <r>
          <rPr>
            <b/>
            <sz val="9"/>
            <color indexed="81"/>
            <rFont val="Tahoma"/>
            <charset val="1"/>
          </rPr>
          <t>Gustavo Casanova:</t>
        </r>
        <r>
          <rPr>
            <sz val="9"/>
            <color indexed="81"/>
            <rFont val="Tahoma"/>
            <charset val="1"/>
          </rPr>
          <t xml:space="preserve">
This value shows the intervals' number that DHW temperature knob should have across the full range (0-1023) to distribute the desired temperatures.</t>
        </r>
      </text>
    </comment>
    <comment ref="K6" authorId="0" shapeId="0" xr:uid="{654F5352-182C-466F-8CCF-DB8F0DFFBC79}">
      <text>
        <r>
          <rPr>
            <b/>
            <sz val="9"/>
            <color indexed="81"/>
            <rFont val="Tahoma"/>
            <charset val="1"/>
          </rPr>
          <t>Gustavo Casanova:</t>
        </r>
        <r>
          <rPr>
            <sz val="9"/>
            <color indexed="81"/>
            <rFont val="Tahoma"/>
            <charset val="1"/>
          </rPr>
          <t xml:space="preserve">
Please enter here the value that will determine the maximum heat output obtained by moving the DHW temperature knob to full scale.</t>
        </r>
      </text>
    </comment>
  </commentList>
</comments>
</file>

<file path=xl/sharedStrings.xml><?xml version="1.0" encoding="utf-8"?>
<sst xmlns="http://schemas.openxmlformats.org/spreadsheetml/2006/main" count="261" uniqueCount="115">
  <si>
    <t xml:space="preserve"> NTC thermistor table</t>
  </si>
  <si>
    <t>°C</t>
  </si>
  <si>
    <t>kΩ</t>
  </si>
  <si>
    <t>Temperature</t>
  </si>
  <si>
    <t xml:space="preserve">Resistance </t>
  </si>
  <si>
    <t>R1</t>
  </si>
  <si>
    <t>Vin</t>
  </si>
  <si>
    <t>V</t>
  </si>
  <si>
    <t>Vout</t>
  </si>
  <si>
    <t>14,3 kΩ</t>
  </si>
  <si>
    <t>Tester Temp Measurement</t>
  </si>
  <si>
    <t>17 °C</t>
  </si>
  <si>
    <t>Honeywell T7335A Thermistor Temperature Sensor</t>
  </si>
  <si>
    <t>ADC</t>
  </si>
  <si>
    <t>Central Heating Test Setup</t>
  </si>
  <si>
    <t>bar</t>
  </si>
  <si>
    <t xml:space="preserve">  Lowest temp: </t>
  </si>
  <si>
    <t xml:space="preserve"> Highest temp: </t>
  </si>
  <si>
    <t>-&gt;</t>
  </si>
  <si>
    <t>Instrument</t>
  </si>
  <si>
    <t>Tester</t>
  </si>
  <si>
    <t>I (mA)</t>
  </si>
  <si>
    <t>Thermistor = R2</t>
  </si>
  <si>
    <t>Ω</t>
  </si>
  <si>
    <t>ADC max</t>
  </si>
  <si>
    <t>RL DHW (Orange)</t>
  </si>
  <si>
    <t>RL CH (Gray)</t>
  </si>
  <si>
    <t>%Var</t>
  </si>
  <si>
    <t>RL CH =</t>
  </si>
  <si>
    <t>Rounded</t>
  </si>
  <si>
    <t>Resolution</t>
  </si>
  <si>
    <t>-</t>
  </si>
  <si>
    <t>Current setup CH temperature range</t>
  </si>
  <si>
    <t>Valve-1</t>
  </si>
  <si>
    <t>Valve-2</t>
  </si>
  <si>
    <t>Valve3</t>
  </si>
  <si>
    <t>Valve characteristics</t>
  </si>
  <si>
    <t>Valve-3</t>
  </si>
  <si>
    <t>G20 m3/h</t>
  </si>
  <si>
    <t>Valve</t>
  </si>
  <si>
    <t>Power</t>
  </si>
  <si>
    <t>Combinations</t>
  </si>
  <si>
    <t>Total Kcal/h</t>
  </si>
  <si>
    <t>Check</t>
  </si>
  <si>
    <t>%Time</t>
  </si>
  <si>
    <t>Cost</t>
  </si>
  <si>
    <t>Step</t>
  </si>
  <si>
    <t>Kcal/h</t>
  </si>
  <si>
    <t>Cycle time: 9 seconds aprox (3 x 3 seconds divisions)</t>
  </si>
  <si>
    <t>Temp</t>
  </si>
  <si>
    <t>Resistance</t>
  </si>
  <si>
    <t>21°</t>
  </si>
  <si>
    <t>Tap water temp (idle)</t>
  </si>
  <si>
    <t>Heat modulation step 2</t>
  </si>
  <si>
    <t>43°</t>
  </si>
  <si>
    <t>Heat modulation step 1</t>
  </si>
  <si>
    <t>DWH (through pump no-power)</t>
  </si>
  <si>
    <t>39°</t>
  </si>
  <si>
    <t>(*) Residual CH temp</t>
  </si>
  <si>
    <t>40°</t>
  </si>
  <si>
    <t>Datasheet</t>
  </si>
  <si>
    <t>High CH Temp</t>
  </si>
  <si>
    <t>Low CH Temp</t>
  </si>
  <si>
    <t>DHW Readings</t>
  </si>
  <si>
    <t>43-44 °C</t>
  </si>
  <si>
    <t>Open Time</t>
  </si>
  <si>
    <t>Rl</t>
  </si>
  <si>
    <t>Res</t>
  </si>
  <si>
    <t>Temp.</t>
  </si>
  <si>
    <t>Res.</t>
  </si>
  <si>
    <t>T7335D</t>
  </si>
  <si>
    <t xml:space="preserve">DHW </t>
  </si>
  <si>
    <t>Time slots</t>
  </si>
  <si>
    <t>Time Tot</t>
  </si>
  <si>
    <t>Slot time %</t>
  </si>
  <si>
    <t>Valves</t>
  </si>
  <si>
    <t>Knob steps</t>
  </si>
  <si>
    <t>Knob ADC</t>
  </si>
  <si>
    <t>Step value</t>
  </si>
  <si>
    <t>Knob step 1</t>
  </si>
  <si>
    <t>Knob step 2</t>
  </si>
  <si>
    <t>Knob step 4</t>
  </si>
  <si>
    <t>Knob step 5</t>
  </si>
  <si>
    <t>Knob step 6</t>
  </si>
  <si>
    <t>Knob step 7</t>
  </si>
  <si>
    <t>Knob step 8</t>
  </si>
  <si>
    <t>Knob step 9</t>
  </si>
  <si>
    <t>Knob step 10</t>
  </si>
  <si>
    <t>Knob step 11</t>
  </si>
  <si>
    <t>Knob step 12</t>
  </si>
  <si>
    <t>Knob step 13</t>
  </si>
  <si>
    <t>Knob step 14</t>
  </si>
  <si>
    <t>Knob step 15</t>
  </si>
  <si>
    <t>Knob step 16</t>
  </si>
  <si>
    <t>Knob step 17</t>
  </si>
  <si>
    <t>Knob step 18</t>
  </si>
  <si>
    <t>Knob step 19</t>
  </si>
  <si>
    <t>Knob step 20</t>
  </si>
  <si>
    <t>Knob step 21</t>
  </si>
  <si>
    <t>Knob step 22</t>
  </si>
  <si>
    <t>Knob step 23</t>
  </si>
  <si>
    <t>Knob step 24</t>
  </si>
  <si>
    <t>Knob step 25</t>
  </si>
  <si>
    <t>Knob step 26</t>
  </si>
  <si>
    <t>Min Kcal/h</t>
  </si>
  <si>
    <t>Max Kcal/h</t>
  </si>
  <si>
    <t>Sum</t>
  </si>
  <si>
    <t>Heat Level</t>
  </si>
  <si>
    <t>V-1</t>
  </si>
  <si>
    <t>V-2</t>
  </si>
  <si>
    <t>V-3</t>
  </si>
  <si>
    <t>G20_m3</t>
  </si>
  <si>
    <t>String</t>
  </si>
  <si>
    <t>Knob step 0</t>
  </si>
  <si>
    <t>Knob step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</si>
</sst>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%"/>
    <numFmt numFmtId="167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9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81">
    <xf numFmtId="0" fontId="0" fillId="0" borderId="0" xfId="0"/>
    <xf numFmtId="0" fontId="0" fillId="0" borderId="2" xfId="0" applyBorder="1"/>
    <xf numFmtId="0" fontId="0" fillId="0" borderId="3" xfId="0" applyBorder="1" applyAlignment="1">
      <alignment horizontal="center"/>
    </xf>
    <xf numFmtId="164" fontId="0" fillId="0" borderId="2" xfId="0" applyNumberFormat="1" applyBorder="1"/>
    <xf numFmtId="1" fontId="0" fillId="0" borderId="4" xfId="0" applyNumberFormat="1" applyBorder="1"/>
    <xf numFmtId="0" fontId="0" fillId="0" borderId="5" xfId="0" applyBorder="1" applyAlignment="1">
      <alignment horizontal="center"/>
    </xf>
    <xf numFmtId="164" fontId="0" fillId="0" borderId="4" xfId="0" applyNumberFormat="1" applyBorder="1"/>
    <xf numFmtId="0" fontId="0" fillId="0" borderId="4" xfId="0" applyBorder="1"/>
    <xf numFmtId="164" fontId="0" fillId="0" borderId="1" xfId="0" applyNumberFormat="1" applyBorder="1"/>
    <xf numFmtId="0" fontId="2" fillId="0" borderId="0" xfId="0" applyFont="1"/>
    <xf numFmtId="165" fontId="0" fillId="0" borderId="1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6" xfId="0" applyBorder="1"/>
    <xf numFmtId="2" fontId="0" fillId="0" borderId="4" xfId="0" applyNumberFormat="1" applyBorder="1"/>
    <xf numFmtId="2" fontId="0" fillId="0" borderId="2" xfId="0" applyNumberFormat="1" applyBorder="1"/>
    <xf numFmtId="1" fontId="3" fillId="3" borderId="4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" fontId="1" fillId="4" borderId="4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" fontId="4" fillId="5" borderId="4" xfId="0" applyNumberFormat="1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/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0" xfId="0" quotePrefix="1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8" borderId="0" xfId="0" quotePrefix="1" applyFill="1" applyAlignment="1">
      <alignment horizontal="center"/>
    </xf>
    <xf numFmtId="0" fontId="1" fillId="0" borderId="0" xfId="0" applyFont="1" applyAlignment="1">
      <alignment horizontal="center"/>
    </xf>
    <xf numFmtId="1" fontId="0" fillId="2" borderId="1" xfId="0" applyNumberFormat="1" applyFill="1" applyBorder="1"/>
    <xf numFmtId="165" fontId="0" fillId="2" borderId="1" xfId="0" applyNumberFormat="1" applyFill="1" applyBorder="1"/>
    <xf numFmtId="3" fontId="0" fillId="0" borderId="1" xfId="0" applyNumberFormat="1" applyBorder="1"/>
    <xf numFmtId="0" fontId="0" fillId="9" borderId="4" xfId="0" applyFill="1" applyBorder="1"/>
    <xf numFmtId="0" fontId="0" fillId="9" borderId="5" xfId="0" applyFill="1" applyBorder="1" applyAlignment="1">
      <alignment horizontal="center"/>
    </xf>
    <xf numFmtId="2" fontId="0" fillId="9" borderId="4" xfId="0" applyNumberFormat="1" applyFill="1" applyBorder="1"/>
    <xf numFmtId="1" fontId="0" fillId="9" borderId="1" xfId="0" applyNumberFormat="1" applyFill="1" applyBorder="1"/>
    <xf numFmtId="165" fontId="0" fillId="9" borderId="1" xfId="0" applyNumberFormat="1" applyFill="1" applyBorder="1"/>
    <xf numFmtId="1" fontId="0" fillId="9" borderId="4" xfId="0" applyNumberFormat="1" applyFill="1" applyBorder="1"/>
    <xf numFmtId="3" fontId="0" fillId="0" borderId="7" xfId="0" applyNumberFormat="1" applyBorder="1"/>
    <xf numFmtId="164" fontId="3" fillId="3" borderId="4" xfId="0" applyNumberFormat="1" applyFont="1" applyFill="1" applyBorder="1" applyAlignment="1">
      <alignment horizontal="center"/>
    </xf>
    <xf numFmtId="165" fontId="0" fillId="0" borderId="4" xfId="0" applyNumberFormat="1" applyBorder="1"/>
    <xf numFmtId="165" fontId="0" fillId="9" borderId="4" xfId="0" applyNumberFormat="1" applyFill="1" applyBorder="1"/>
    <xf numFmtId="165" fontId="0" fillId="2" borderId="4" xfId="0" applyNumberFormat="1" applyFill="1" applyBorder="1"/>
    <xf numFmtId="164" fontId="3" fillId="6" borderId="5" xfId="0" applyNumberFormat="1" applyFont="1" applyFill="1" applyBorder="1" applyAlignment="1">
      <alignment horizontal="center"/>
    </xf>
    <xf numFmtId="1" fontId="0" fillId="0" borderId="5" xfId="0" applyNumberFormat="1" applyBorder="1"/>
    <xf numFmtId="1" fontId="0" fillId="9" borderId="5" xfId="0" applyNumberFormat="1" applyFill="1" applyBorder="1"/>
    <xf numFmtId="1" fontId="0" fillId="2" borderId="5" xfId="0" applyNumberFormat="1" applyFill="1" applyBorder="1"/>
    <xf numFmtId="3" fontId="0" fillId="0" borderId="9" xfId="0" applyNumberFormat="1" applyBorder="1"/>
    <xf numFmtId="164" fontId="4" fillId="5" borderId="7" xfId="0" applyNumberFormat="1" applyFont="1" applyFill="1" applyBorder="1" applyAlignment="1">
      <alignment horizontal="center"/>
    </xf>
    <xf numFmtId="164" fontId="4" fillId="5" borderId="8" xfId="0" applyNumberFormat="1" applyFont="1" applyFill="1" applyBorder="1" applyAlignment="1">
      <alignment horizontal="center"/>
    </xf>
    <xf numFmtId="1" fontId="0" fillId="0" borderId="10" xfId="0" applyNumberFormat="1" applyBorder="1"/>
    <xf numFmtId="1" fontId="0" fillId="9" borderId="10" xfId="0" applyNumberFormat="1" applyFill="1" applyBorder="1"/>
    <xf numFmtId="1" fontId="0" fillId="0" borderId="3" xfId="0" applyNumberFormat="1" applyBorder="1"/>
    <xf numFmtId="1" fontId="0" fillId="2" borderId="4" xfId="0" applyNumberFormat="1" applyFill="1" applyBorder="1"/>
    <xf numFmtId="0" fontId="0" fillId="2" borderId="5" xfId="0" applyFill="1" applyBorder="1" applyAlignment="1">
      <alignment horizontal="center"/>
    </xf>
    <xf numFmtId="2" fontId="0" fillId="2" borderId="4" xfId="0" applyNumberFormat="1" applyFill="1" applyBorder="1"/>
    <xf numFmtId="0" fontId="0" fillId="2" borderId="4" xfId="0" applyFill="1" applyBorder="1"/>
    <xf numFmtId="3" fontId="0" fillId="2" borderId="1" xfId="0" applyNumberForma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/>
    <xf numFmtId="1" fontId="0" fillId="0" borderId="0" xfId="0" applyNumberFormat="1" applyBorder="1"/>
    <xf numFmtId="3" fontId="0" fillId="0" borderId="0" xfId="0" applyNumberFormat="1" applyBorder="1"/>
    <xf numFmtId="165" fontId="0" fillId="0" borderId="0" xfId="0" applyNumberFormat="1" applyBorder="1"/>
    <xf numFmtId="10" fontId="0" fillId="0" borderId="1" xfId="1" applyNumberFormat="1" applyFont="1" applyBorder="1"/>
    <xf numFmtId="10" fontId="0" fillId="2" borderId="1" xfId="1" applyNumberFormat="1" applyFont="1" applyFill="1" applyBorder="1"/>
    <xf numFmtId="10" fontId="0" fillId="9" borderId="1" xfId="1" applyNumberFormat="1" applyFont="1" applyFill="1" applyBorder="1"/>
    <xf numFmtId="0" fontId="0" fillId="0" borderId="4" xfId="0" applyBorder="1" applyAlignment="1">
      <alignment horizontal="right"/>
    </xf>
    <xf numFmtId="3" fontId="0" fillId="0" borderId="11" xfId="0" applyNumberFormat="1" applyBorder="1"/>
    <xf numFmtId="0" fontId="0" fillId="0" borderId="5" xfId="0" applyBorder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7" fontId="0" fillId="0" borderId="0" xfId="0" applyNumberFormat="1"/>
    <xf numFmtId="1" fontId="0" fillId="2" borderId="0" xfId="0" applyNumberFormat="1" applyFill="1"/>
    <xf numFmtId="0" fontId="0" fillId="0" borderId="0" xfId="0" applyFill="1"/>
    <xf numFmtId="1" fontId="0" fillId="0" borderId="0" xfId="0" applyNumberFormat="1" applyFill="1"/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0" borderId="0" xfId="0" applyAlignment="1"/>
    <xf numFmtId="166" fontId="0" fillId="0" borderId="0" xfId="1" applyNumberFormat="1" applyFont="1" applyAlignment="1"/>
    <xf numFmtId="166" fontId="0" fillId="2" borderId="0" xfId="1" applyNumberFormat="1" applyFont="1" applyFill="1" applyAlignment="1"/>
    <xf numFmtId="0" fontId="0" fillId="10" borderId="0" xfId="0" applyFill="1"/>
    <xf numFmtId="1" fontId="0" fillId="10" borderId="0" xfId="0" applyNumberFormat="1" applyFill="1"/>
    <xf numFmtId="1" fontId="0" fillId="10" borderId="0" xfId="0" applyNumberFormat="1" applyFill="1" applyAlignment="1">
      <alignment horizontal="center"/>
    </xf>
    <xf numFmtId="166" fontId="0" fillId="10" borderId="0" xfId="1" applyNumberFormat="1" applyFont="1" applyFill="1" applyAlignment="1"/>
    <xf numFmtId="1" fontId="8" fillId="0" borderId="0" xfId="0" applyNumberFormat="1" applyFont="1" applyAlignment="1">
      <alignment horizontal="center"/>
    </xf>
    <xf numFmtId="1" fontId="3" fillId="3" borderId="0" xfId="0" applyNumberFormat="1" applyFont="1" applyFill="1" applyBorder="1" applyAlignment="1">
      <alignment horizontal="center"/>
    </xf>
    <xf numFmtId="164" fontId="3" fillId="6" borderId="0" xfId="0" applyNumberFormat="1" applyFont="1" applyFill="1" applyBorder="1" applyAlignment="1">
      <alignment horizontal="center"/>
    </xf>
    <xf numFmtId="166" fontId="0" fillId="0" borderId="0" xfId="1" applyNumberFormat="1" applyFont="1"/>
    <xf numFmtId="3" fontId="0" fillId="9" borderId="1" xfId="0" applyNumberFormat="1" applyFill="1" applyBorder="1"/>
    <xf numFmtId="0" fontId="9" fillId="10" borderId="0" xfId="0" applyFont="1" applyFill="1"/>
    <xf numFmtId="1" fontId="9" fillId="10" borderId="0" xfId="0" applyNumberFormat="1" applyFont="1" applyFill="1"/>
    <xf numFmtId="1" fontId="9" fillId="10" borderId="0" xfId="0" applyNumberFormat="1" applyFont="1" applyFill="1" applyAlignment="1">
      <alignment horizontal="center"/>
    </xf>
    <xf numFmtId="166" fontId="9" fillId="10" borderId="0" xfId="1" applyNumberFormat="1" applyFont="1" applyFill="1" applyAlignment="1"/>
    <xf numFmtId="1" fontId="9" fillId="2" borderId="0" xfId="0" applyNumberFormat="1" applyFont="1" applyFill="1"/>
    <xf numFmtId="1" fontId="9" fillId="2" borderId="0" xfId="0" applyNumberFormat="1" applyFont="1" applyFill="1" applyAlignment="1">
      <alignment horizontal="center"/>
    </xf>
    <xf numFmtId="166" fontId="9" fillId="2" borderId="0" xfId="1" applyNumberFormat="1" applyFont="1" applyFill="1" applyAlignment="1"/>
    <xf numFmtId="4" fontId="0" fillId="0" borderId="0" xfId="0" applyNumberFormat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" fontId="0" fillId="11" borderId="0" xfId="0" applyNumberFormat="1" applyFill="1"/>
    <xf numFmtId="1" fontId="0" fillId="11" borderId="0" xfId="0" quotePrefix="1" applyNumberFormat="1" applyFill="1" applyAlignment="1">
      <alignment horizontal="center"/>
    </xf>
    <xf numFmtId="1" fontId="0" fillId="11" borderId="0" xfId="0" applyNumberFormat="1" applyFill="1" applyAlignment="1">
      <alignment horizontal="center"/>
    </xf>
    <xf numFmtId="166" fontId="0" fillId="11" borderId="0" xfId="1" applyNumberFormat="1" applyFont="1" applyFill="1" applyAlignment="1"/>
    <xf numFmtId="0" fontId="8" fillId="10" borderId="0" xfId="0" applyFont="1" applyFill="1"/>
    <xf numFmtId="1" fontId="8" fillId="10" borderId="0" xfId="0" applyNumberFormat="1" applyFont="1" applyFill="1"/>
    <xf numFmtId="1" fontId="8" fillId="10" borderId="0" xfId="0" applyNumberFormat="1" applyFont="1" applyFill="1" applyAlignment="1">
      <alignment horizontal="center"/>
    </xf>
    <xf numFmtId="166" fontId="8" fillId="10" borderId="0" xfId="1" applyNumberFormat="1" applyFont="1" applyFill="1" applyAlignment="1"/>
    <xf numFmtId="9" fontId="0" fillId="0" borderId="0" xfId="1" applyFont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1" fillId="0" borderId="4" xfId="0" applyFont="1" applyBorder="1" applyAlignment="1">
      <alignment horizontal="center"/>
    </xf>
    <xf numFmtId="9" fontId="1" fillId="0" borderId="11" xfId="1" applyFont="1" applyBorder="1"/>
    <xf numFmtId="3" fontId="1" fillId="0" borderId="11" xfId="0" applyNumberFormat="1" applyFont="1" applyBorder="1"/>
    <xf numFmtId="167" fontId="1" fillId="0" borderId="11" xfId="0" applyNumberFormat="1" applyFont="1" applyBorder="1"/>
    <xf numFmtId="1" fontId="1" fillId="0" borderId="5" xfId="1" applyNumberFormat="1" applyFont="1" applyBorder="1"/>
    <xf numFmtId="1" fontId="0" fillId="0" borderId="0" xfId="1" applyNumberFormat="1" applyFont="1"/>
    <xf numFmtId="0" fontId="0" fillId="0" borderId="0" xfId="0" applyAlignment="1">
      <alignment horizontal="right"/>
    </xf>
    <xf numFmtId="0" fontId="0" fillId="8" borderId="0" xfId="0" applyFill="1" applyAlignment="1">
      <alignment horizontal="right"/>
    </xf>
    <xf numFmtId="1" fontId="1" fillId="8" borderId="0" xfId="0" applyNumberFormat="1" applyFont="1" applyFill="1"/>
    <xf numFmtId="0" fontId="1" fillId="8" borderId="0" xfId="0" applyFont="1" applyFill="1"/>
    <xf numFmtId="1" fontId="1" fillId="8" borderId="0" xfId="0" applyNumberFormat="1" applyFont="1" applyFill="1" applyAlignment="1">
      <alignment horizontal="center"/>
    </xf>
    <xf numFmtId="166" fontId="1" fillId="8" borderId="0" xfId="1" applyNumberFormat="1" applyFont="1" applyFill="1" applyAlignment="1"/>
    <xf numFmtId="0" fontId="0" fillId="9" borderId="0" xfId="0" applyFill="1"/>
    <xf numFmtId="0" fontId="11" fillId="9" borderId="0" xfId="0" applyFont="1" applyFill="1"/>
    <xf numFmtId="1" fontId="11" fillId="9" borderId="0" xfId="0" applyNumberFormat="1" applyFont="1" applyFill="1"/>
    <xf numFmtId="1" fontId="11" fillId="9" borderId="0" xfId="0" applyNumberFormat="1" applyFont="1" applyFill="1" applyAlignment="1">
      <alignment horizontal="center"/>
    </xf>
    <xf numFmtId="166" fontId="11" fillId="9" borderId="0" xfId="1" applyNumberFormat="1" applyFont="1" applyFill="1" applyAlignment="1"/>
    <xf numFmtId="0" fontId="0" fillId="2" borderId="0" xfId="0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/>
    <xf numFmtId="0" fontId="0" fillId="12" borderId="12" xfId="0" applyFill="1" applyBorder="1"/>
    <xf numFmtId="0" fontId="0" fillId="12" borderId="13" xfId="0" applyFill="1" applyBorder="1"/>
    <xf numFmtId="0" fontId="0" fillId="13" borderId="1" xfId="0" applyFill="1" applyBorder="1"/>
    <xf numFmtId="0" fontId="0" fillId="13" borderId="14" xfId="0" applyFill="1" applyBorder="1"/>
    <xf numFmtId="0" fontId="0" fillId="8" borderId="16" xfId="0" applyFill="1" applyBorder="1"/>
    <xf numFmtId="0" fontId="0" fillId="12" borderId="17" xfId="0" applyFill="1" applyBorder="1"/>
    <xf numFmtId="0" fontId="0" fillId="13" borderId="5" xfId="0" applyFill="1" applyBorder="1"/>
    <xf numFmtId="0" fontId="0" fillId="8" borderId="18" xfId="0" applyFill="1" applyBorder="1"/>
    <xf numFmtId="0" fontId="0" fillId="12" borderId="19" xfId="0" applyFill="1" applyBorder="1"/>
    <xf numFmtId="0" fontId="0" fillId="13" borderId="20" xfId="0" applyFill="1" applyBorder="1"/>
    <xf numFmtId="0" fontId="0" fillId="8" borderId="21" xfId="0" applyFill="1" applyBorder="1"/>
    <xf numFmtId="0" fontId="0" fillId="8" borderId="22" xfId="0" applyFill="1" applyBorder="1"/>
    <xf numFmtId="0" fontId="0" fillId="8" borderId="23" xfId="0" applyFill="1" applyBorder="1"/>
    <xf numFmtId="2" fontId="0" fillId="13" borderId="1" xfId="0" applyNumberFormat="1" applyFill="1" applyBorder="1"/>
    <xf numFmtId="2" fontId="0" fillId="13" borderId="14" xfId="0" applyNumberFormat="1" applyFill="1" applyBorder="1"/>
    <xf numFmtId="0" fontId="0" fillId="2" borderId="15" xfId="0" applyFill="1" applyBorder="1"/>
    <xf numFmtId="1" fontId="0" fillId="2" borderId="15" xfId="0" applyNumberFormat="1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3" borderId="0" xfId="0" applyFont="1" applyFill="1" applyAlignment="1">
      <alignment horizontal="center" vertical="center" textRotation="90"/>
    </xf>
    <xf numFmtId="1" fontId="0" fillId="14" borderId="0" xfId="0" applyNumberFormat="1" applyFill="1" applyAlignment="1">
      <alignment horizontal="center"/>
    </xf>
    <xf numFmtId="9" fontId="0" fillId="0" borderId="0" xfId="1" applyFont="1" applyBorder="1" applyAlignment="1">
      <alignment horizontal="center"/>
    </xf>
    <xf numFmtId="166" fontId="0" fillId="0" borderId="0" xfId="1" applyNumberFormat="1" applyFont="1" applyFill="1" applyBorder="1" applyAlignment="1">
      <alignment horizontal="center"/>
    </xf>
    <xf numFmtId="0" fontId="0" fillId="15" borderId="0" xfId="0" applyFill="1" applyAlignment="1">
      <alignment horizontal="center"/>
    </xf>
    <xf numFmtId="166" fontId="0" fillId="0" borderId="0" xfId="1" applyNumberFormat="1" applyFont="1" applyAlignment="1">
      <alignment horizontal="center"/>
    </xf>
    <xf numFmtId="3" fontId="0" fillId="14" borderId="0" xfId="0" applyNumberFormat="1" applyFill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9" fontId="1" fillId="0" borderId="4" xfId="1" applyFont="1" applyBorder="1"/>
    <xf numFmtId="167" fontId="1" fillId="0" borderId="5" xfId="0" applyNumberFormat="1" applyFont="1" applyBorder="1"/>
    <xf numFmtId="0" fontId="1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9">
    <dxf>
      <font>
        <color theme="0"/>
      </font>
      <fill>
        <patternFill>
          <bgColor theme="0" tint="-0.34998626667073579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T</a:t>
            </a:r>
            <a:r>
              <a:rPr lang="en-US" sz="1200" b="1"/>
              <a:t>7335A Thermistor Resistance-Temperature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'T7335D Datasheet'!$H$4</c:f>
              <c:strCache>
                <c:ptCount val="1"/>
                <c:pt idx="0">
                  <c:v>Resistance  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5.9543986829405676E-2"/>
                  <c:y val="4.3450872992683746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35B-4B25-9CC5-9D2B631CB15A}"/>
                </c:ext>
              </c:extLst>
            </c:dLbl>
            <c:dLbl>
              <c:idx val="2"/>
              <c:layout>
                <c:manualLayout>
                  <c:x val="-6.1424569531657938E-2"/>
                  <c:y val="4.3450872992676964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5B-4B25-9CC5-9D2B631CB15A}"/>
                </c:ext>
              </c:extLst>
            </c:dLbl>
            <c:numFmt formatCode="0.00;[Red]0.00" sourceLinked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'T7335D Datasheet'!$G$5:$G$22</c:f>
              <c:numCache>
                <c:formatCode>0</c:formatCode>
                <c:ptCount val="18"/>
                <c:pt idx="0">
                  <c:v>-20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120</c:v>
                </c:pt>
                <c:pt idx="17">
                  <c:v>125</c:v>
                </c:pt>
              </c:numCache>
            </c:numRef>
          </c:xVal>
          <c:yVal>
            <c:numRef>
              <c:f>'T7335D Datasheet'!$H$5:$H$22</c:f>
              <c:numCache>
                <c:formatCode>#,##0</c:formatCode>
                <c:ptCount val="18"/>
                <c:pt idx="0">
                  <c:v>98660</c:v>
                </c:pt>
                <c:pt idx="1">
                  <c:v>56250</c:v>
                </c:pt>
                <c:pt idx="2">
                  <c:v>33210</c:v>
                </c:pt>
                <c:pt idx="3">
                  <c:v>20240</c:v>
                </c:pt>
                <c:pt idx="4">
                  <c:v>12710</c:v>
                </c:pt>
                <c:pt idx="5">
                  <c:v>10170</c:v>
                </c:pt>
                <c:pt idx="6">
                  <c:v>8194</c:v>
                </c:pt>
                <c:pt idx="7">
                  <c:v>5416</c:v>
                </c:pt>
                <c:pt idx="8">
                  <c:v>3663</c:v>
                </c:pt>
                <c:pt idx="9">
                  <c:v>2530</c:v>
                </c:pt>
                <c:pt idx="10">
                  <c:v>1782</c:v>
                </c:pt>
                <c:pt idx="11">
                  <c:v>1278</c:v>
                </c:pt>
                <c:pt idx="12">
                  <c:v>1089</c:v>
                </c:pt>
                <c:pt idx="13">
                  <c:v>931.6</c:v>
                </c:pt>
                <c:pt idx="14">
                  <c:v>690</c:v>
                </c:pt>
                <c:pt idx="15">
                  <c:v>518.5</c:v>
                </c:pt>
                <c:pt idx="16">
                  <c:v>395</c:v>
                </c:pt>
                <c:pt idx="17">
                  <c:v>346.4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5B-4B25-9CC5-9D2B631CB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936336"/>
        <c:axId val="946760864"/>
      </c:scatterChart>
      <c:valAx>
        <c:axId val="95093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Temperature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60864"/>
        <c:crosses val="autoZero"/>
        <c:crossBetween val="midCat"/>
        <c:minorUnit val="2"/>
      </c:valAx>
      <c:valAx>
        <c:axId val="9467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Resistance </a:t>
                </a:r>
                <a:r>
                  <a:rPr lang="en-US" sz="1100" b="1" i="0" u="none" strike="noStrike" baseline="0">
                    <a:effectLst/>
                  </a:rPr>
                  <a:t>k</a:t>
                </a:r>
                <a:r>
                  <a:rPr lang="el-GR" sz="1100" b="1" i="0" u="none" strike="noStrike" baseline="0">
                    <a:effectLst/>
                  </a:rPr>
                  <a:t>Ω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93633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NTC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'Roca Repair Manual'!$H$4</c:f>
              <c:strCache>
                <c:ptCount val="1"/>
                <c:pt idx="0">
                  <c:v>Resistance  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'Roca Repair Manual'!$G$5:$G$18</c:f>
              <c:numCache>
                <c:formatCode>0</c:formatCode>
                <c:ptCount val="14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</c:numCache>
            </c:numRef>
          </c:xVal>
          <c:yVal>
            <c:numRef>
              <c:f>'Roca Repair Manual'!$H$5:$H$18</c:f>
              <c:numCache>
                <c:formatCode>0.0</c:formatCode>
                <c:ptCount val="14"/>
                <c:pt idx="0">
                  <c:v>55.2</c:v>
                </c:pt>
                <c:pt idx="1">
                  <c:v>32.6</c:v>
                </c:pt>
                <c:pt idx="2">
                  <c:v>19.899999999999999</c:v>
                </c:pt>
                <c:pt idx="3">
                  <c:v>12.4</c:v>
                </c:pt>
                <c:pt idx="4">
                  <c:v>10</c:v>
                </c:pt>
                <c:pt idx="5">
                  <c:v>8.06</c:v>
                </c:pt>
                <c:pt idx="6">
                  <c:v>5.33</c:v>
                </c:pt>
                <c:pt idx="7">
                  <c:v>3.6</c:v>
                </c:pt>
                <c:pt idx="8">
                  <c:v>2.4900000000000002</c:v>
                </c:pt>
                <c:pt idx="9">
                  <c:v>1.75</c:v>
                </c:pt>
                <c:pt idx="10">
                  <c:v>1.25</c:v>
                </c:pt>
                <c:pt idx="11">
                  <c:v>0.91</c:v>
                </c:pt>
                <c:pt idx="12">
                  <c:v>0.67</c:v>
                </c:pt>
                <c:pt idx="13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5-4870-9467-F2B1FFC0E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936336"/>
        <c:axId val="946760864"/>
      </c:scatterChart>
      <c:valAx>
        <c:axId val="95093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60864"/>
        <c:crosses val="autoZero"/>
        <c:crossBetween val="midCat"/>
        <c:minorUnit val="2"/>
      </c:valAx>
      <c:valAx>
        <c:axId val="9467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93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142874</xdr:colOff>
      <xdr:row>2</xdr:row>
      <xdr:rowOff>185736</xdr:rowOff>
    </xdr:from>
    <xdr:to>
      <xdr:col>27</xdr:col>
      <xdr:colOff>190500</xdr:colOff>
      <xdr:row>20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64B06C-9C75-4A33-A558-07907F824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133349</xdr:colOff>
      <xdr:row>22</xdr:row>
      <xdr:rowOff>9525</xdr:rowOff>
    </xdr:from>
    <xdr:to>
      <xdr:col>20</xdr:col>
      <xdr:colOff>218712</xdr:colOff>
      <xdr:row>35</xdr:row>
      <xdr:rowOff>156410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290384-7A92-4316-9E42-676E41728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86699" y="4210050"/>
          <a:ext cx="2523763" cy="2623385"/>
        </a:xfrm>
        <a:prstGeom prst="rect">
          <a:avLst/>
        </a:prstGeom>
      </xdr:spPr>
    </xdr:pic>
    <xdr:clientData/>
  </xdr:twoCellAnchor>
  <xdr:twoCellAnchor editAs="oneCell">
    <xdr:from>
      <xdr:col>20</xdr:col>
      <xdr:colOff>276226</xdr:colOff>
      <xdr:row>22</xdr:row>
      <xdr:rowOff>28576</xdr:rowOff>
    </xdr:from>
    <xdr:to>
      <xdr:col>24</xdr:col>
      <xdr:colOff>295276</xdr:colOff>
      <xdr:row>27</xdr:row>
      <xdr:rowOff>145178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B0C681-C843-422B-AE12-E62A4F62F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67976" y="4229101"/>
          <a:ext cx="2457450" cy="1069102"/>
        </a:xfrm>
        <a:prstGeom prst="rect">
          <a:avLst/>
        </a:prstGeom>
      </xdr:spPr>
    </xdr:pic>
    <xdr:clientData/>
  </xdr:twoCellAnchor>
  <xdr:oneCellAnchor>
    <xdr:from>
      <xdr:col>18</xdr:col>
      <xdr:colOff>311921</xdr:colOff>
      <xdr:row>29</xdr:row>
      <xdr:rowOff>88131</xdr:rowOff>
    </xdr:from>
    <xdr:ext cx="436786" cy="83202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C4020F3-C19B-4B14-94CD-9B76839EB5A9}"/>
            </a:ext>
          </a:extLst>
        </xdr:cNvPr>
        <xdr:cNvSpPr txBox="1"/>
      </xdr:nvSpPr>
      <xdr:spPr>
        <a:xfrm rot="16200000">
          <a:off x="9086852" y="5819775"/>
          <a:ext cx="83202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 b="1">
              <a:solidFill>
                <a:srgbClr val="C00000"/>
              </a:solidFill>
            </a:rPr>
            <a:t>NTC</a:t>
          </a:r>
          <a:br>
            <a:rPr lang="en-US" sz="1100" b="1">
              <a:solidFill>
                <a:srgbClr val="C00000"/>
              </a:solidFill>
            </a:rPr>
          </a:br>
          <a:r>
            <a:rPr lang="en-US" sz="1100" b="1">
              <a:solidFill>
                <a:srgbClr val="C00000"/>
              </a:solidFill>
            </a:rPr>
            <a:t>Thermistor</a:t>
          </a:r>
        </a:p>
      </xdr:txBody>
    </xdr:sp>
    <xdr:clientData/>
  </xdr:oneCellAnchor>
  <xdr:oneCellAnchor>
    <xdr:from>
      <xdr:col>18</xdr:col>
      <xdr:colOff>331361</xdr:colOff>
      <xdr:row>25</xdr:row>
      <xdr:rowOff>15997</xdr:rowOff>
    </xdr:from>
    <xdr:ext cx="264560" cy="40479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35693F2-3CE3-4B75-80B3-93600AE09D28}"/>
            </a:ext>
          </a:extLst>
        </xdr:cNvPr>
        <xdr:cNvSpPr txBox="1"/>
      </xdr:nvSpPr>
      <xdr:spPr>
        <a:xfrm rot="16200000">
          <a:off x="9233795" y="4858138"/>
          <a:ext cx="4047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 b="1">
              <a:solidFill>
                <a:srgbClr val="C00000"/>
              </a:solidFill>
            </a:rPr>
            <a:t>1K2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142874</xdr:colOff>
      <xdr:row>2</xdr:row>
      <xdr:rowOff>185736</xdr:rowOff>
    </xdr:from>
    <xdr:to>
      <xdr:col>23</xdr:col>
      <xdr:colOff>190500</xdr:colOff>
      <xdr:row>19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85BAC-B5F0-4982-B323-90E530BA4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</xdr:row>
      <xdr:rowOff>0</xdr:rowOff>
    </xdr:from>
    <xdr:to>
      <xdr:col>32</xdr:col>
      <xdr:colOff>189257</xdr:colOff>
      <xdr:row>25</xdr:row>
      <xdr:rowOff>8976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CFCC3A-F2E1-4D07-BFA0-3629099B8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0" y="190500"/>
          <a:ext cx="9942857" cy="4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C6F6A-A7CC-4895-A2E6-321A0F4D4598}">
  <dimension ref="B2:P40"/>
  <sheetViews>
    <sheetView zoomScaleNormal="100" workbookViewId="0">
      <selection activeCell="D7" sqref="D7"/>
    </sheetView>
  </sheetViews>
  <sheetFormatPr defaultColWidth="9.140625" defaultRowHeight="15" x14ac:dyDescent="0.25"/>
  <cols>
    <col min="1" max="1" width="2.7109375" customWidth="1"/>
    <col min="2" max="2" width="8.28515625" customWidth="1"/>
    <col min="3" max="3" width="4.7109375" customWidth="1"/>
    <col min="4" max="4" width="8.28515625" customWidth="1"/>
    <col min="5" max="5" width="4.7109375" customWidth="1"/>
    <col min="6" max="6" width="2.7109375" customWidth="1"/>
    <col min="7" max="8" width="13.42578125" customWidth="1"/>
    <col min="9" max="9" width="2.7109375" customWidth="1"/>
    <col min="10" max="12" width="13.140625" customWidth="1"/>
    <col min="13" max="14" width="12.5703125" customWidth="1"/>
    <col min="15" max="16" width="7.85546875" customWidth="1"/>
  </cols>
  <sheetData>
    <row r="2" spans="2:16" ht="15.75" x14ac:dyDescent="0.25">
      <c r="B2" s="9" t="s">
        <v>12</v>
      </c>
    </row>
    <row r="3" spans="2:16" x14ac:dyDescent="0.25">
      <c r="K3" t="s">
        <v>22</v>
      </c>
    </row>
    <row r="4" spans="2:16" x14ac:dyDescent="0.25">
      <c r="B4" s="163" t="s">
        <v>3</v>
      </c>
      <c r="C4" s="164"/>
      <c r="D4" s="163" t="s">
        <v>4</v>
      </c>
      <c r="E4" s="164"/>
      <c r="G4" s="18" t="str">
        <f>B4</f>
        <v>Temperature</v>
      </c>
      <c r="H4" s="19" t="str">
        <f>CONCATENATE(D4," ","Ω")</f>
        <v>Resistance  Ω</v>
      </c>
      <c r="J4" s="26" t="s">
        <v>3</v>
      </c>
      <c r="K4" s="19" t="s">
        <v>8</v>
      </c>
      <c r="L4" s="49" t="s">
        <v>21</v>
      </c>
      <c r="M4" s="53" t="s">
        <v>13</v>
      </c>
      <c r="N4" s="27" t="s">
        <v>27</v>
      </c>
    </row>
    <row r="5" spans="2:16" x14ac:dyDescent="0.25">
      <c r="B5" s="4">
        <v>-20</v>
      </c>
      <c r="C5" s="5" t="s">
        <v>1</v>
      </c>
      <c r="D5" s="16">
        <v>98.66</v>
      </c>
      <c r="E5" s="5" t="s">
        <v>2</v>
      </c>
      <c r="G5" s="4">
        <f>B5</f>
        <v>-20</v>
      </c>
      <c r="H5" s="41">
        <f>D5*1000</f>
        <v>98660</v>
      </c>
      <c r="J5" s="28">
        <f>B5</f>
        <v>-20</v>
      </c>
      <c r="K5" s="10">
        <f t="shared" ref="K5:K22" si="0">$D$27*(H5/($D$26+H5))</f>
        <v>4.539849070495122</v>
      </c>
      <c r="L5" s="50">
        <f t="shared" ref="L5:L22" si="1">($D$27/(H5+$D$26)*1000)</f>
        <v>4.6015092950487758E-2</v>
      </c>
      <c r="M5" s="54">
        <f t="shared" ref="M5:M22" si="2">ROUND(H5*$D$30/(H5+$D$26),0)</f>
        <v>929</v>
      </c>
      <c r="N5" s="74">
        <v>0</v>
      </c>
      <c r="O5" s="99">
        <f>(M5/$D$30)-1</f>
        <v>-9.1886608015640303E-2</v>
      </c>
      <c r="P5" s="99"/>
    </row>
    <row r="6" spans="2:16" x14ac:dyDescent="0.25">
      <c r="B6" s="4">
        <v>-10</v>
      </c>
      <c r="C6" s="5" t="s">
        <v>1</v>
      </c>
      <c r="D6" s="16">
        <v>56.25</v>
      </c>
      <c r="E6" s="5" t="s">
        <v>2</v>
      </c>
      <c r="G6" s="4">
        <f>B6</f>
        <v>-10</v>
      </c>
      <c r="H6" s="41">
        <f t="shared" ref="H6:H19" si="3">D6*1000</f>
        <v>56250</v>
      </c>
      <c r="J6" s="28">
        <f t="shared" ref="J6:J19" si="4">B6</f>
        <v>-10</v>
      </c>
      <c r="K6" s="10">
        <f t="shared" si="0"/>
        <v>4.2452830188679247</v>
      </c>
      <c r="L6" s="50">
        <f t="shared" si="1"/>
        <v>7.5471698113207558E-2</v>
      </c>
      <c r="M6" s="54">
        <f t="shared" si="2"/>
        <v>869</v>
      </c>
      <c r="N6" s="74">
        <f>(M6/M5)-1</f>
        <v>-6.4585575888051694E-2</v>
      </c>
      <c r="O6" s="99">
        <f t="shared" ref="O6:O22" si="5">(M6/$D$30)-1</f>
        <v>-0.15053763440860213</v>
      </c>
      <c r="P6" s="99">
        <f>(O6/O5)-1</f>
        <v>0.63829787234042468</v>
      </c>
    </row>
    <row r="7" spans="2:16" x14ac:dyDescent="0.25">
      <c r="B7" s="7">
        <v>0</v>
      </c>
      <c r="C7" s="5" t="s">
        <v>1</v>
      </c>
      <c r="D7" s="16">
        <v>33.21</v>
      </c>
      <c r="E7" s="5" t="s">
        <v>2</v>
      </c>
      <c r="G7" s="4">
        <f t="shared" ref="G7:G19" si="6">B7</f>
        <v>0</v>
      </c>
      <c r="H7" s="41">
        <f t="shared" si="3"/>
        <v>33210</v>
      </c>
      <c r="J7" s="28">
        <f t="shared" si="4"/>
        <v>0</v>
      </c>
      <c r="K7" s="10">
        <f t="shared" si="0"/>
        <v>3.8428604489701454</v>
      </c>
      <c r="L7" s="50">
        <f t="shared" si="1"/>
        <v>0.11571395510298542</v>
      </c>
      <c r="M7" s="54">
        <f t="shared" si="2"/>
        <v>786</v>
      </c>
      <c r="N7" s="74">
        <f t="shared" ref="N7:N22" si="7">(M7/M6)-1</f>
        <v>-9.551208285385504E-2</v>
      </c>
      <c r="O7" s="99">
        <f t="shared" si="5"/>
        <v>-0.23167155425219943</v>
      </c>
      <c r="P7" s="99">
        <f t="shared" ref="P7:P22" si="8">(O7/O6)-1</f>
        <v>0.53896103896103931</v>
      </c>
    </row>
    <row r="8" spans="2:16" x14ac:dyDescent="0.25">
      <c r="B8" s="7">
        <v>10</v>
      </c>
      <c r="C8" s="5" t="s">
        <v>1</v>
      </c>
      <c r="D8" s="16">
        <v>20.239999999999998</v>
      </c>
      <c r="E8" s="5" t="s">
        <v>2</v>
      </c>
      <c r="G8" s="4">
        <f t="shared" si="6"/>
        <v>10</v>
      </c>
      <c r="H8" s="41">
        <f t="shared" si="3"/>
        <v>20240</v>
      </c>
      <c r="J8" s="28">
        <f t="shared" si="4"/>
        <v>10</v>
      </c>
      <c r="K8" s="10">
        <f t="shared" si="0"/>
        <v>3.3465608465608465</v>
      </c>
      <c r="L8" s="50">
        <f t="shared" si="1"/>
        <v>0.16534391534391535</v>
      </c>
      <c r="M8" s="54">
        <f t="shared" si="2"/>
        <v>685</v>
      </c>
      <c r="N8" s="74">
        <f t="shared" si="7"/>
        <v>-0.12849872773536897</v>
      </c>
      <c r="O8" s="99">
        <f t="shared" si="5"/>
        <v>-0.33040078201368528</v>
      </c>
      <c r="P8" s="99">
        <f t="shared" si="8"/>
        <v>0.42616033755274274</v>
      </c>
    </row>
    <row r="9" spans="2:16" x14ac:dyDescent="0.25">
      <c r="B9" s="7">
        <v>20</v>
      </c>
      <c r="C9" s="5" t="s">
        <v>1</v>
      </c>
      <c r="D9" s="16">
        <v>12.71</v>
      </c>
      <c r="E9" s="5" t="s">
        <v>2</v>
      </c>
      <c r="G9" s="4">
        <f t="shared" si="6"/>
        <v>20</v>
      </c>
      <c r="H9" s="41">
        <f t="shared" si="3"/>
        <v>12710</v>
      </c>
      <c r="J9" s="28">
        <f t="shared" si="4"/>
        <v>20</v>
      </c>
      <c r="K9" s="10">
        <f t="shared" si="0"/>
        <v>2.7983267283135183</v>
      </c>
      <c r="L9" s="50">
        <f t="shared" si="1"/>
        <v>0.22016732716864817</v>
      </c>
      <c r="M9" s="54">
        <f t="shared" si="2"/>
        <v>573</v>
      </c>
      <c r="N9" s="74">
        <f t="shared" si="7"/>
        <v>-0.1635036496350365</v>
      </c>
      <c r="O9" s="99">
        <f t="shared" si="5"/>
        <v>-0.43988269794721413</v>
      </c>
      <c r="P9" s="99">
        <f t="shared" si="8"/>
        <v>0.33136094674556205</v>
      </c>
    </row>
    <row r="10" spans="2:16" x14ac:dyDescent="0.25">
      <c r="B10" s="42">
        <v>25</v>
      </c>
      <c r="C10" s="43" t="s">
        <v>1</v>
      </c>
      <c r="D10" s="44">
        <v>10.17</v>
      </c>
      <c r="E10" s="43" t="s">
        <v>2</v>
      </c>
      <c r="G10" s="47">
        <f t="shared" si="6"/>
        <v>25</v>
      </c>
      <c r="H10" s="100">
        <f t="shared" si="3"/>
        <v>10170</v>
      </c>
      <c r="J10" s="45">
        <f t="shared" si="4"/>
        <v>25</v>
      </c>
      <c r="K10" s="46">
        <f t="shared" si="0"/>
        <v>2.521070897372335</v>
      </c>
      <c r="L10" s="51">
        <f t="shared" si="1"/>
        <v>0.24789291026276647</v>
      </c>
      <c r="M10" s="55">
        <f t="shared" si="2"/>
        <v>516</v>
      </c>
      <c r="N10" s="76">
        <f t="shared" si="7"/>
        <v>-9.9476439790575966E-2</v>
      </c>
      <c r="O10" s="99">
        <f t="shared" si="5"/>
        <v>-0.49560117302052786</v>
      </c>
      <c r="P10" s="99">
        <f t="shared" si="8"/>
        <v>0.12666666666666648</v>
      </c>
    </row>
    <row r="11" spans="2:16" x14ac:dyDescent="0.25">
      <c r="B11" s="7">
        <v>30</v>
      </c>
      <c r="C11" s="5" t="s">
        <v>1</v>
      </c>
      <c r="D11" s="16">
        <v>8.1940000000000008</v>
      </c>
      <c r="E11" s="5" t="s">
        <v>2</v>
      </c>
      <c r="G11" s="4">
        <f t="shared" si="6"/>
        <v>30</v>
      </c>
      <c r="H11" s="41">
        <f t="shared" si="3"/>
        <v>8194</v>
      </c>
      <c r="J11" s="28">
        <f t="shared" si="4"/>
        <v>30</v>
      </c>
      <c r="K11" s="10">
        <f t="shared" si="0"/>
        <v>2.2518412663515446</v>
      </c>
      <c r="L11" s="50">
        <f t="shared" si="1"/>
        <v>0.27481587336484553</v>
      </c>
      <c r="M11" s="54">
        <f t="shared" si="2"/>
        <v>461</v>
      </c>
      <c r="N11" s="74">
        <f t="shared" si="7"/>
        <v>-0.10658914728682167</v>
      </c>
      <c r="O11" s="99">
        <f t="shared" si="5"/>
        <v>-0.54936461388074287</v>
      </c>
      <c r="P11" s="99">
        <f t="shared" si="8"/>
        <v>0.10848126232741606</v>
      </c>
    </row>
    <row r="12" spans="2:16" x14ac:dyDescent="0.25">
      <c r="B12" s="63">
        <v>40</v>
      </c>
      <c r="C12" s="64" t="s">
        <v>1</v>
      </c>
      <c r="D12" s="65">
        <v>5.4160000000000004</v>
      </c>
      <c r="E12" s="64" t="s">
        <v>2</v>
      </c>
      <c r="G12" s="63">
        <f t="shared" si="6"/>
        <v>40</v>
      </c>
      <c r="H12" s="67">
        <f t="shared" si="3"/>
        <v>5416</v>
      </c>
      <c r="J12" s="39">
        <f t="shared" si="4"/>
        <v>40</v>
      </c>
      <c r="K12" s="40">
        <f t="shared" si="0"/>
        <v>1.7566165023352363</v>
      </c>
      <c r="L12" s="52">
        <f t="shared" si="1"/>
        <v>0.32433834976647641</v>
      </c>
      <c r="M12" s="56">
        <f t="shared" si="2"/>
        <v>359</v>
      </c>
      <c r="N12" s="75">
        <f t="shared" si="7"/>
        <v>-0.22125813449023857</v>
      </c>
      <c r="O12" s="99">
        <f t="shared" si="5"/>
        <v>-0.64907135874877808</v>
      </c>
      <c r="P12" s="99">
        <f t="shared" si="8"/>
        <v>0.18149466192170816</v>
      </c>
    </row>
    <row r="13" spans="2:16" x14ac:dyDescent="0.25">
      <c r="B13" s="66">
        <v>50</v>
      </c>
      <c r="C13" s="64" t="s">
        <v>1</v>
      </c>
      <c r="D13" s="65">
        <v>3.6629999999999998</v>
      </c>
      <c r="E13" s="64" t="s">
        <v>2</v>
      </c>
      <c r="G13" s="63">
        <f t="shared" si="6"/>
        <v>50</v>
      </c>
      <c r="H13" s="67">
        <f t="shared" si="3"/>
        <v>3663</v>
      </c>
      <c r="J13" s="39">
        <f t="shared" si="4"/>
        <v>50</v>
      </c>
      <c r="K13" s="40">
        <f t="shared" si="0"/>
        <v>1.340481592622411</v>
      </c>
      <c r="L13" s="52">
        <f t="shared" si="1"/>
        <v>0.36595184073775894</v>
      </c>
      <c r="M13" s="56">
        <f t="shared" si="2"/>
        <v>274</v>
      </c>
      <c r="N13" s="75">
        <f t="shared" si="7"/>
        <v>-0.23676880222841223</v>
      </c>
      <c r="O13" s="99">
        <f t="shared" si="5"/>
        <v>-0.73216031280547411</v>
      </c>
      <c r="P13" s="99">
        <f t="shared" si="8"/>
        <v>0.12801204819277112</v>
      </c>
    </row>
    <row r="14" spans="2:16" x14ac:dyDescent="0.25">
      <c r="B14" s="66">
        <v>60</v>
      </c>
      <c r="C14" s="64" t="s">
        <v>1</v>
      </c>
      <c r="D14" s="65">
        <v>2.5299999999999998</v>
      </c>
      <c r="E14" s="64" t="s">
        <v>2</v>
      </c>
      <c r="G14" s="63">
        <f t="shared" si="6"/>
        <v>60</v>
      </c>
      <c r="H14" s="67">
        <f>D14*1000</f>
        <v>2530</v>
      </c>
      <c r="J14" s="39">
        <f t="shared" si="4"/>
        <v>60</v>
      </c>
      <c r="K14" s="40">
        <f t="shared" si="0"/>
        <v>1.0095770151636072</v>
      </c>
      <c r="L14" s="52">
        <f t="shared" si="1"/>
        <v>0.39904229848363931</v>
      </c>
      <c r="M14" s="56">
        <f t="shared" si="2"/>
        <v>207</v>
      </c>
      <c r="N14" s="75">
        <f t="shared" si="7"/>
        <v>-0.24452554744525545</v>
      </c>
      <c r="O14" s="99">
        <f t="shared" si="5"/>
        <v>-0.79765395894428148</v>
      </c>
      <c r="P14" s="99">
        <f t="shared" si="8"/>
        <v>8.9452603471295022E-2</v>
      </c>
    </row>
    <row r="15" spans="2:16" x14ac:dyDescent="0.25">
      <c r="B15" s="7">
        <v>70</v>
      </c>
      <c r="C15" s="5" t="s">
        <v>1</v>
      </c>
      <c r="D15" s="16">
        <v>1.782</v>
      </c>
      <c r="E15" s="5" t="s">
        <v>2</v>
      </c>
      <c r="G15" s="4">
        <f t="shared" si="6"/>
        <v>70</v>
      </c>
      <c r="H15" s="41">
        <f t="shared" si="3"/>
        <v>1782</v>
      </c>
      <c r="J15" s="28">
        <f t="shared" si="4"/>
        <v>70</v>
      </c>
      <c r="K15" s="10">
        <f t="shared" si="0"/>
        <v>0.75623832965540649</v>
      </c>
      <c r="L15" s="50">
        <f t="shared" si="1"/>
        <v>0.42437616703445935</v>
      </c>
      <c r="M15" s="54">
        <f t="shared" si="2"/>
        <v>155</v>
      </c>
      <c r="N15" s="74">
        <f t="shared" si="7"/>
        <v>-0.25120772946859904</v>
      </c>
      <c r="O15" s="99">
        <f t="shared" si="5"/>
        <v>-0.84848484848484851</v>
      </c>
      <c r="P15" s="99">
        <f t="shared" si="8"/>
        <v>6.3725490196078427E-2</v>
      </c>
    </row>
    <row r="16" spans="2:16" x14ac:dyDescent="0.25">
      <c r="B16" s="7">
        <v>80</v>
      </c>
      <c r="C16" s="5" t="s">
        <v>1</v>
      </c>
      <c r="D16" s="16">
        <v>1.278</v>
      </c>
      <c r="E16" s="5" t="s">
        <v>2</v>
      </c>
      <c r="G16" s="4">
        <f t="shared" si="6"/>
        <v>80</v>
      </c>
      <c r="H16" s="41">
        <f t="shared" si="3"/>
        <v>1278</v>
      </c>
      <c r="J16" s="28">
        <f t="shared" si="4"/>
        <v>80</v>
      </c>
      <c r="K16" s="10">
        <f t="shared" si="0"/>
        <v>0.5665898208902288</v>
      </c>
      <c r="L16" s="50">
        <f t="shared" si="1"/>
        <v>0.44334101791097708</v>
      </c>
      <c r="M16" s="54">
        <f t="shared" si="2"/>
        <v>116</v>
      </c>
      <c r="N16" s="74">
        <f t="shared" si="7"/>
        <v>-0.25161290322580643</v>
      </c>
      <c r="O16" s="99">
        <f t="shared" si="5"/>
        <v>-0.88660801564027369</v>
      </c>
      <c r="P16" s="99">
        <f t="shared" si="8"/>
        <v>4.4930875576036922E-2</v>
      </c>
    </row>
    <row r="17" spans="2:16" x14ac:dyDescent="0.25">
      <c r="B17" s="7">
        <v>85</v>
      </c>
      <c r="C17" s="5" t="s">
        <v>1</v>
      </c>
      <c r="D17" s="16">
        <v>1.089</v>
      </c>
      <c r="E17" s="5" t="s">
        <v>2</v>
      </c>
      <c r="G17" s="4">
        <f t="shared" si="6"/>
        <v>85</v>
      </c>
      <c r="H17" s="41">
        <f t="shared" si="3"/>
        <v>1089</v>
      </c>
      <c r="J17" s="28">
        <f t="shared" si="4"/>
        <v>85</v>
      </c>
      <c r="K17" s="10">
        <f t="shared" si="0"/>
        <v>0.49102714401659303</v>
      </c>
      <c r="L17" s="50">
        <f t="shared" si="1"/>
        <v>0.45089728559834069</v>
      </c>
      <c r="M17" s="54">
        <f t="shared" si="2"/>
        <v>100</v>
      </c>
      <c r="N17" s="74">
        <f t="shared" si="7"/>
        <v>-0.13793103448275867</v>
      </c>
      <c r="O17" s="99">
        <f t="shared" si="5"/>
        <v>-0.90224828934506351</v>
      </c>
      <c r="P17" s="99">
        <f t="shared" si="8"/>
        <v>1.7640573318632891E-2</v>
      </c>
    </row>
    <row r="18" spans="2:16" x14ac:dyDescent="0.25">
      <c r="B18" s="7">
        <v>90</v>
      </c>
      <c r="C18" s="5" t="s">
        <v>1</v>
      </c>
      <c r="D18" s="16">
        <v>0.93159999999999998</v>
      </c>
      <c r="E18" s="5" t="s">
        <v>2</v>
      </c>
      <c r="G18" s="4">
        <f t="shared" si="6"/>
        <v>90</v>
      </c>
      <c r="H18" s="41">
        <f t="shared" si="3"/>
        <v>931.6</v>
      </c>
      <c r="J18" s="28">
        <f t="shared" si="4"/>
        <v>90</v>
      </c>
      <c r="K18" s="10">
        <f t="shared" si="0"/>
        <v>0.4261041384609755</v>
      </c>
      <c r="L18" s="50">
        <f t="shared" si="1"/>
        <v>0.45738958615390241</v>
      </c>
      <c r="M18" s="54">
        <f t="shared" si="2"/>
        <v>87</v>
      </c>
      <c r="N18" s="74">
        <f t="shared" si="7"/>
        <v>-0.13</v>
      </c>
      <c r="O18" s="99">
        <f t="shared" si="5"/>
        <v>-0.91495601173020524</v>
      </c>
      <c r="P18" s="99">
        <f t="shared" si="8"/>
        <v>1.4084507042253502E-2</v>
      </c>
    </row>
    <row r="19" spans="2:16" x14ac:dyDescent="0.25">
      <c r="B19" s="1">
        <v>100</v>
      </c>
      <c r="C19" s="2" t="s">
        <v>1</v>
      </c>
      <c r="D19" s="17">
        <v>0.69</v>
      </c>
      <c r="E19" s="2" t="s">
        <v>2</v>
      </c>
      <c r="G19" s="4">
        <f t="shared" si="6"/>
        <v>100</v>
      </c>
      <c r="H19" s="41">
        <f t="shared" si="3"/>
        <v>690</v>
      </c>
      <c r="J19" s="28">
        <f t="shared" si="4"/>
        <v>100</v>
      </c>
      <c r="K19" s="10">
        <f t="shared" si="0"/>
        <v>0.32273152478952294</v>
      </c>
      <c r="L19" s="50">
        <f t="shared" si="1"/>
        <v>0.46772684752104771</v>
      </c>
      <c r="M19" s="54">
        <f t="shared" si="2"/>
        <v>66</v>
      </c>
      <c r="N19" s="74">
        <f t="shared" si="7"/>
        <v>-0.24137931034482762</v>
      </c>
      <c r="O19" s="99">
        <f t="shared" si="5"/>
        <v>-0.93548387096774199</v>
      </c>
      <c r="P19" s="99">
        <f t="shared" si="8"/>
        <v>2.2435897435897578E-2</v>
      </c>
    </row>
    <row r="20" spans="2:16" x14ac:dyDescent="0.25">
      <c r="B20" s="7">
        <v>110</v>
      </c>
      <c r="C20" s="5" t="s">
        <v>1</v>
      </c>
      <c r="D20" s="16">
        <v>0.51849999999999996</v>
      </c>
      <c r="E20" s="5" t="s">
        <v>2</v>
      </c>
      <c r="G20" s="4">
        <f t="shared" ref="G20:G21" si="9">B20</f>
        <v>110</v>
      </c>
      <c r="H20" s="41">
        <f t="shared" ref="H20:H21" si="10">D20*1000</f>
        <v>518.5</v>
      </c>
      <c r="J20" s="28">
        <f t="shared" ref="J20:J21" si="11">B20</f>
        <v>110</v>
      </c>
      <c r="K20" s="10">
        <f t="shared" si="0"/>
        <v>0.24647050434947948</v>
      </c>
      <c r="L20" s="50">
        <f t="shared" si="1"/>
        <v>0.47535294956505203</v>
      </c>
      <c r="M20" s="54">
        <f t="shared" si="2"/>
        <v>50</v>
      </c>
      <c r="N20" s="74">
        <f t="shared" si="7"/>
        <v>-0.24242424242424243</v>
      </c>
      <c r="O20" s="99">
        <f t="shared" si="5"/>
        <v>-0.95112414467253181</v>
      </c>
      <c r="P20" s="99">
        <f t="shared" si="8"/>
        <v>1.6718913270637348E-2</v>
      </c>
    </row>
    <row r="21" spans="2:16" x14ac:dyDescent="0.25">
      <c r="B21" s="7">
        <v>120</v>
      </c>
      <c r="C21" s="5" t="s">
        <v>1</v>
      </c>
      <c r="D21" s="16">
        <v>0.39500000000000002</v>
      </c>
      <c r="E21" s="5" t="s">
        <v>2</v>
      </c>
      <c r="G21" s="4">
        <f t="shared" si="9"/>
        <v>120</v>
      </c>
      <c r="H21" s="41">
        <f t="shared" si="10"/>
        <v>395</v>
      </c>
      <c r="J21" s="28">
        <f t="shared" si="11"/>
        <v>120</v>
      </c>
      <c r="K21" s="10">
        <f t="shared" si="0"/>
        <v>0.18999518999518999</v>
      </c>
      <c r="L21" s="50">
        <f t="shared" si="1"/>
        <v>0.48100048100048104</v>
      </c>
      <c r="M21" s="54">
        <f t="shared" si="2"/>
        <v>39</v>
      </c>
      <c r="N21" s="74">
        <f t="shared" si="7"/>
        <v>-0.21999999999999997</v>
      </c>
      <c r="O21" s="99">
        <f t="shared" si="5"/>
        <v>-0.96187683284457481</v>
      </c>
      <c r="P21" s="99">
        <f t="shared" si="8"/>
        <v>1.1305241521068821E-2</v>
      </c>
    </row>
    <row r="22" spans="2:16" x14ac:dyDescent="0.25">
      <c r="B22" s="7">
        <v>125</v>
      </c>
      <c r="C22" s="5" t="s">
        <v>1</v>
      </c>
      <c r="D22" s="16">
        <v>0.34639999999999999</v>
      </c>
      <c r="E22" s="5" t="s">
        <v>2</v>
      </c>
      <c r="G22" s="4">
        <f t="shared" ref="G22" si="12">B22</f>
        <v>125</v>
      </c>
      <c r="H22" s="41">
        <f t="shared" ref="H22" si="13">D22*1000</f>
        <v>346.4</v>
      </c>
      <c r="J22" s="28">
        <f t="shared" ref="J22" si="14">B22</f>
        <v>125</v>
      </c>
      <c r="K22" s="10">
        <f t="shared" si="0"/>
        <v>0.16740122168097116</v>
      </c>
      <c r="L22" s="50">
        <f t="shared" si="1"/>
        <v>0.48325987783190294</v>
      </c>
      <c r="M22" s="54">
        <f t="shared" si="2"/>
        <v>34</v>
      </c>
      <c r="N22" s="74">
        <f t="shared" si="7"/>
        <v>-0.12820512820512819</v>
      </c>
      <c r="O22" s="99">
        <f t="shared" si="5"/>
        <v>-0.96676441837732163</v>
      </c>
      <c r="P22" s="99">
        <f t="shared" si="8"/>
        <v>5.0813008130081716E-3</v>
      </c>
    </row>
    <row r="23" spans="2:16" x14ac:dyDescent="0.25">
      <c r="B23" s="68"/>
      <c r="C23" s="69"/>
      <c r="D23" s="70"/>
      <c r="E23" s="69"/>
      <c r="G23" s="71"/>
      <c r="H23" s="72"/>
      <c r="J23" s="71"/>
      <c r="K23" s="73"/>
      <c r="L23" s="73"/>
      <c r="M23" s="71"/>
      <c r="N23" s="71"/>
    </row>
    <row r="25" spans="2:16" x14ac:dyDescent="0.25">
      <c r="J25" s="24" t="s">
        <v>3</v>
      </c>
      <c r="K25" s="25" t="s">
        <v>8</v>
      </c>
      <c r="L25" s="58"/>
      <c r="M25" s="58"/>
      <c r="N25" s="59"/>
    </row>
    <row r="26" spans="2:16" x14ac:dyDescent="0.25">
      <c r="C26" s="15" t="s">
        <v>5</v>
      </c>
      <c r="D26" s="48">
        <v>10000</v>
      </c>
      <c r="E26" s="12" t="s">
        <v>23</v>
      </c>
      <c r="J26" s="4">
        <f t="shared" ref="J26:J40" si="15">B5</f>
        <v>-20</v>
      </c>
      <c r="K26" s="10">
        <f t="shared" ref="K26:K40" si="16">$D$27*($D$26/(H5+$D$26))</f>
        <v>0.46015092950487757</v>
      </c>
      <c r="L26" s="10"/>
      <c r="M26" s="28">
        <f>K26*1023/$D$27</f>
        <v>94.146880176697948</v>
      </c>
      <c r="N26" s="60"/>
    </row>
    <row r="27" spans="2:16" x14ac:dyDescent="0.25">
      <c r="C27" s="1" t="s">
        <v>6</v>
      </c>
      <c r="D27" s="13">
        <v>5</v>
      </c>
      <c r="E27" s="14" t="s">
        <v>7</v>
      </c>
      <c r="J27" s="4">
        <f t="shared" si="15"/>
        <v>-10</v>
      </c>
      <c r="K27" s="10">
        <f t="shared" si="16"/>
        <v>0.75471698113207542</v>
      </c>
      <c r="L27" s="10"/>
      <c r="M27" s="28">
        <f t="shared" ref="M27:M40" si="17">K27*1023/$D$27</f>
        <v>154.41509433962261</v>
      </c>
      <c r="N27" s="60"/>
    </row>
    <row r="28" spans="2:16" x14ac:dyDescent="0.25">
      <c r="J28" s="4">
        <f t="shared" si="15"/>
        <v>0</v>
      </c>
      <c r="K28" s="10">
        <f t="shared" si="16"/>
        <v>1.1571395510298541</v>
      </c>
      <c r="L28" s="10"/>
      <c r="M28" s="28">
        <f t="shared" si="17"/>
        <v>236.75075214070816</v>
      </c>
      <c r="N28" s="60"/>
    </row>
    <row r="29" spans="2:16" x14ac:dyDescent="0.25">
      <c r="C29" s="15" t="s">
        <v>24</v>
      </c>
      <c r="D29" s="11"/>
      <c r="E29" s="12"/>
      <c r="J29" s="4">
        <f t="shared" si="15"/>
        <v>10</v>
      </c>
      <c r="K29" s="10">
        <f t="shared" si="16"/>
        <v>1.6534391534391535</v>
      </c>
      <c r="L29" s="10"/>
      <c r="M29" s="28">
        <f t="shared" si="17"/>
        <v>338.29365079365078</v>
      </c>
      <c r="N29" s="60"/>
    </row>
    <row r="30" spans="2:16" x14ac:dyDescent="0.25">
      <c r="C30" s="1"/>
      <c r="D30" s="13">
        <v>1023</v>
      </c>
      <c r="E30" s="14"/>
      <c r="J30" s="4">
        <f t="shared" si="15"/>
        <v>20</v>
      </c>
      <c r="K30" s="10">
        <f t="shared" si="16"/>
        <v>2.2016732716864817</v>
      </c>
      <c r="L30" s="10"/>
      <c r="M30" s="28">
        <f t="shared" si="17"/>
        <v>450.46235138705413</v>
      </c>
      <c r="N30" s="60"/>
    </row>
    <row r="31" spans="2:16" x14ac:dyDescent="0.25">
      <c r="J31" s="47">
        <f t="shared" si="15"/>
        <v>25</v>
      </c>
      <c r="K31" s="46">
        <f t="shared" si="16"/>
        <v>2.478929102627665</v>
      </c>
      <c r="L31" s="46"/>
      <c r="M31" s="45">
        <f t="shared" si="17"/>
        <v>507.18889439762023</v>
      </c>
      <c r="N31" s="61"/>
    </row>
    <row r="32" spans="2:16" x14ac:dyDescent="0.25">
      <c r="C32" s="15" t="s">
        <v>25</v>
      </c>
      <c r="D32" s="11"/>
      <c r="E32" s="12"/>
      <c r="J32" s="4">
        <f t="shared" si="15"/>
        <v>30</v>
      </c>
      <c r="K32" s="10">
        <f t="shared" si="16"/>
        <v>2.7481587336484554</v>
      </c>
      <c r="L32" s="10"/>
      <c r="M32" s="28">
        <f t="shared" si="17"/>
        <v>562.27327690447396</v>
      </c>
      <c r="N32" s="60"/>
    </row>
    <row r="33" spans="3:14" x14ac:dyDescent="0.25">
      <c r="C33" s="1"/>
      <c r="D33" s="57">
        <v>1174</v>
      </c>
      <c r="E33" s="14" t="s">
        <v>23</v>
      </c>
      <c r="J33" s="4">
        <f t="shared" si="15"/>
        <v>40</v>
      </c>
      <c r="K33" s="10">
        <f t="shared" si="16"/>
        <v>3.2433834976647642</v>
      </c>
      <c r="L33" s="10"/>
      <c r="M33" s="28">
        <f t="shared" si="17"/>
        <v>663.59626362221081</v>
      </c>
      <c r="N33" s="60"/>
    </row>
    <row r="34" spans="3:14" x14ac:dyDescent="0.25">
      <c r="J34" s="4">
        <f t="shared" si="15"/>
        <v>50</v>
      </c>
      <c r="K34" s="10">
        <f t="shared" si="16"/>
        <v>3.6595184073775893</v>
      </c>
      <c r="L34" s="10"/>
      <c r="M34" s="28">
        <f t="shared" si="17"/>
        <v>748.7374661494548</v>
      </c>
      <c r="N34" s="60"/>
    </row>
    <row r="35" spans="3:14" x14ac:dyDescent="0.25">
      <c r="C35" s="15" t="s">
        <v>26</v>
      </c>
      <c r="D35" s="11"/>
      <c r="E35" s="12"/>
      <c r="J35" s="4">
        <f t="shared" si="15"/>
        <v>60</v>
      </c>
      <c r="K35" s="10">
        <f t="shared" si="16"/>
        <v>3.9904229848363926</v>
      </c>
      <c r="L35" s="10"/>
      <c r="M35" s="28">
        <f t="shared" si="17"/>
        <v>816.44054269752598</v>
      </c>
      <c r="N35" s="60"/>
    </row>
    <row r="36" spans="3:14" x14ac:dyDescent="0.25">
      <c r="C36" s="1"/>
      <c r="D36" s="57">
        <v>1170</v>
      </c>
      <c r="E36" s="14" t="s">
        <v>23</v>
      </c>
      <c r="J36" s="4">
        <f t="shared" si="15"/>
        <v>70</v>
      </c>
      <c r="K36" s="10">
        <f t="shared" si="16"/>
        <v>4.2437616703445933</v>
      </c>
      <c r="L36" s="10"/>
      <c r="M36" s="28">
        <f t="shared" si="17"/>
        <v>868.27363775250376</v>
      </c>
      <c r="N36" s="60"/>
    </row>
    <row r="37" spans="3:14" x14ac:dyDescent="0.25">
      <c r="J37" s="4">
        <f t="shared" si="15"/>
        <v>80</v>
      </c>
      <c r="K37" s="10">
        <f t="shared" si="16"/>
        <v>4.4334101791097709</v>
      </c>
      <c r="L37" s="10"/>
      <c r="M37" s="28">
        <f t="shared" si="17"/>
        <v>907.07572264585906</v>
      </c>
      <c r="N37" s="60"/>
    </row>
    <row r="38" spans="3:14" x14ac:dyDescent="0.25">
      <c r="J38" s="4">
        <f t="shared" si="15"/>
        <v>85</v>
      </c>
      <c r="K38" s="10">
        <f t="shared" si="16"/>
        <v>4.5089728559834068</v>
      </c>
      <c r="L38" s="10"/>
      <c r="M38" s="28">
        <f t="shared" si="17"/>
        <v>922.53584633420508</v>
      </c>
      <c r="N38" s="60"/>
    </row>
    <row r="39" spans="3:14" x14ac:dyDescent="0.25">
      <c r="J39" s="4">
        <f t="shared" si="15"/>
        <v>90</v>
      </c>
      <c r="K39" s="10">
        <f t="shared" si="16"/>
        <v>4.5738958615390244</v>
      </c>
      <c r="L39" s="10"/>
      <c r="M39" s="28">
        <f t="shared" si="17"/>
        <v>935.81909327088431</v>
      </c>
      <c r="N39" s="60"/>
    </row>
    <row r="40" spans="3:14" x14ac:dyDescent="0.25">
      <c r="J40" s="4">
        <f t="shared" si="15"/>
        <v>100</v>
      </c>
      <c r="K40" s="10">
        <f t="shared" si="16"/>
        <v>4.677268475210477</v>
      </c>
      <c r="L40" s="10"/>
      <c r="M40" s="28">
        <f t="shared" si="17"/>
        <v>956.96913002806355</v>
      </c>
      <c r="N40" s="62"/>
    </row>
  </sheetData>
  <mergeCells count="2">
    <mergeCell ref="B4:C4"/>
    <mergeCell ref="D4:E4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1DA05-0B90-41F7-A0CD-8C0F696D0097}">
  <dimension ref="B2:M20"/>
  <sheetViews>
    <sheetView workbookViewId="0"/>
  </sheetViews>
  <sheetFormatPr defaultColWidth="11.42578125" defaultRowHeight="15" x14ac:dyDescent="0.25"/>
  <cols>
    <col min="1" max="1" width="2.7109375" customWidth="1"/>
    <col min="2" max="2" width="29.85546875" customWidth="1"/>
    <col min="3" max="4" width="8.140625" customWidth="1"/>
    <col min="5" max="5" width="6.140625" customWidth="1"/>
  </cols>
  <sheetData>
    <row r="2" spans="2:13" x14ac:dyDescent="0.25">
      <c r="B2" s="30" t="s">
        <v>56</v>
      </c>
      <c r="C2" s="121" t="s">
        <v>13</v>
      </c>
      <c r="D2" s="121" t="s">
        <v>49</v>
      </c>
      <c r="F2" s="38" t="s">
        <v>46</v>
      </c>
      <c r="G2" s="38" t="s">
        <v>37</v>
      </c>
      <c r="H2" s="38" t="s">
        <v>34</v>
      </c>
      <c r="I2" s="38" t="s">
        <v>33</v>
      </c>
      <c r="J2" s="38" t="s">
        <v>44</v>
      </c>
      <c r="K2" s="38" t="s">
        <v>47</v>
      </c>
      <c r="L2" s="38" t="s">
        <v>45</v>
      </c>
      <c r="M2" s="121" t="s">
        <v>40</v>
      </c>
    </row>
    <row r="3" spans="2:13" x14ac:dyDescent="0.25">
      <c r="B3" s="35" t="s">
        <v>52</v>
      </c>
      <c r="C3" s="35">
        <v>560</v>
      </c>
      <c r="D3" s="131" t="s">
        <v>51</v>
      </c>
      <c r="F3" s="124">
        <v>1</v>
      </c>
      <c r="G3" s="125">
        <v>0</v>
      </c>
      <c r="H3" s="125">
        <v>0</v>
      </c>
      <c r="I3" s="125">
        <v>0.99990000000000001</v>
      </c>
      <c r="J3" s="125">
        <v>0.99990000000000001</v>
      </c>
      <c r="K3" s="126">
        <v>6999.3</v>
      </c>
      <c r="L3" s="127">
        <v>0.86991300000000005</v>
      </c>
      <c r="M3" s="128">
        <v>7000</v>
      </c>
    </row>
    <row r="4" spans="2:13" x14ac:dyDescent="0.25">
      <c r="B4" s="35" t="s">
        <v>55</v>
      </c>
      <c r="C4" s="35">
        <v>373</v>
      </c>
      <c r="D4" s="131" t="s">
        <v>57</v>
      </c>
      <c r="F4" s="29">
        <v>2</v>
      </c>
      <c r="G4" s="120">
        <v>0</v>
      </c>
      <c r="H4" s="120">
        <v>0.33329999999999999</v>
      </c>
      <c r="I4" s="120">
        <v>0.66659999999999997</v>
      </c>
      <c r="J4" s="120">
        <v>0.99990000000000001</v>
      </c>
      <c r="K4" s="109">
        <v>8665.7999999999993</v>
      </c>
      <c r="L4" s="83">
        <v>1.06656</v>
      </c>
      <c r="M4" s="129">
        <v>8500</v>
      </c>
    </row>
    <row r="5" spans="2:13" x14ac:dyDescent="0.25">
      <c r="B5" s="35" t="s">
        <v>53</v>
      </c>
      <c r="C5" s="35">
        <v>330</v>
      </c>
      <c r="D5" s="131" t="s">
        <v>54</v>
      </c>
      <c r="F5" s="29">
        <v>3</v>
      </c>
      <c r="G5" s="120">
        <v>0</v>
      </c>
      <c r="H5" s="120">
        <v>0.66659999999999997</v>
      </c>
      <c r="I5" s="120">
        <v>0.33329999999999999</v>
      </c>
      <c r="J5" s="120">
        <v>0.99990000000000001</v>
      </c>
      <c r="K5" s="109">
        <v>10332.299999999999</v>
      </c>
      <c r="L5" s="83">
        <v>1.263207</v>
      </c>
      <c r="M5" s="129">
        <v>10000</v>
      </c>
    </row>
    <row r="6" spans="2:13" x14ac:dyDescent="0.25">
      <c r="F6" s="29">
        <v>4</v>
      </c>
      <c r="G6" s="120">
        <v>0.33329999999999999</v>
      </c>
      <c r="H6" s="120">
        <v>0</v>
      </c>
      <c r="I6" s="120">
        <v>0.66659999999999997</v>
      </c>
      <c r="J6" s="120">
        <v>0.99990000000000001</v>
      </c>
      <c r="K6" s="109">
        <v>11332.2</v>
      </c>
      <c r="L6" s="83">
        <v>1.3765290000000001</v>
      </c>
      <c r="M6" s="129">
        <v>11000</v>
      </c>
    </row>
    <row r="7" spans="2:13" x14ac:dyDescent="0.25">
      <c r="F7" s="124">
        <v>5</v>
      </c>
      <c r="G7" s="125">
        <v>0</v>
      </c>
      <c r="H7" s="125">
        <v>0.99990000000000001</v>
      </c>
      <c r="I7" s="125">
        <v>0</v>
      </c>
      <c r="J7" s="125">
        <v>0.99990000000000001</v>
      </c>
      <c r="K7" s="126">
        <v>11998.8</v>
      </c>
      <c r="L7" s="127">
        <v>1.459854</v>
      </c>
      <c r="M7" s="128">
        <v>12000</v>
      </c>
    </row>
    <row r="8" spans="2:13" x14ac:dyDescent="0.25">
      <c r="F8" s="29">
        <v>6</v>
      </c>
      <c r="G8" s="120">
        <v>0.33329999999999999</v>
      </c>
      <c r="H8" s="120">
        <v>0.33329999999999999</v>
      </c>
      <c r="I8" s="120">
        <v>0.33329999999999999</v>
      </c>
      <c r="J8" s="120">
        <v>0.99990000000000001</v>
      </c>
      <c r="K8" s="109">
        <v>12998.7</v>
      </c>
      <c r="L8" s="83">
        <v>1.5731760000000001</v>
      </c>
      <c r="M8" s="129">
        <v>13000</v>
      </c>
    </row>
    <row r="9" spans="2:13" x14ac:dyDescent="0.25">
      <c r="F9" s="29">
        <v>7</v>
      </c>
      <c r="G9" s="120">
        <v>0.33329999999999999</v>
      </c>
      <c r="H9" s="120">
        <v>0.66659999999999997</v>
      </c>
      <c r="I9" s="120">
        <v>0</v>
      </c>
      <c r="J9" s="120">
        <v>0.99990000000000001</v>
      </c>
      <c r="K9" s="109">
        <v>14665.2</v>
      </c>
      <c r="L9" s="83">
        <v>1.7698229999999999</v>
      </c>
      <c r="M9" s="129">
        <v>14500</v>
      </c>
    </row>
    <row r="10" spans="2:13" x14ac:dyDescent="0.25">
      <c r="F10" s="29">
        <v>8</v>
      </c>
      <c r="G10" s="120">
        <v>0.66659999999999997</v>
      </c>
      <c r="H10" s="120">
        <v>0</v>
      </c>
      <c r="I10" s="120">
        <v>0.33329999999999999</v>
      </c>
      <c r="J10" s="120">
        <v>0.99990000000000001</v>
      </c>
      <c r="K10" s="109">
        <v>15665.1</v>
      </c>
      <c r="L10" s="83">
        <v>1.8831450000000001</v>
      </c>
      <c r="M10" s="129">
        <v>15500</v>
      </c>
    </row>
    <row r="11" spans="2:13" x14ac:dyDescent="0.25">
      <c r="F11" s="29">
        <v>9</v>
      </c>
      <c r="G11" s="120">
        <v>0.66659999999999997</v>
      </c>
      <c r="H11" s="120">
        <v>0.33329999999999999</v>
      </c>
      <c r="I11" s="120">
        <v>0</v>
      </c>
      <c r="J11" s="120">
        <v>0.99990000000000001</v>
      </c>
      <c r="K11" s="109">
        <v>17331.599999999999</v>
      </c>
      <c r="L11" s="83">
        <v>2.0797919999999999</v>
      </c>
      <c r="M11" s="129">
        <v>17000</v>
      </c>
    </row>
    <row r="12" spans="2:13" x14ac:dyDescent="0.25">
      <c r="B12" t="s">
        <v>58</v>
      </c>
      <c r="C12">
        <v>360</v>
      </c>
      <c r="D12" s="130" t="s">
        <v>59</v>
      </c>
      <c r="F12" s="124">
        <v>10</v>
      </c>
      <c r="G12" s="125">
        <v>0.99990000000000001</v>
      </c>
      <c r="H12" s="125">
        <v>0</v>
      </c>
      <c r="I12" s="125">
        <v>0</v>
      </c>
      <c r="J12" s="125">
        <v>0.99990000000000001</v>
      </c>
      <c r="K12" s="126">
        <v>19998</v>
      </c>
      <c r="L12" s="127">
        <v>2.389761</v>
      </c>
      <c r="M12" s="128">
        <v>20000</v>
      </c>
    </row>
    <row r="14" spans="2:13" x14ac:dyDescent="0.25">
      <c r="F14" t="s">
        <v>48</v>
      </c>
    </row>
    <row r="16" spans="2:13" x14ac:dyDescent="0.25">
      <c r="F16" s="130" t="s">
        <v>49</v>
      </c>
      <c r="G16" s="130" t="s">
        <v>50</v>
      </c>
      <c r="H16" s="130" t="s">
        <v>21</v>
      </c>
      <c r="I16" s="130" t="s">
        <v>13</v>
      </c>
    </row>
    <row r="17" spans="6:9" x14ac:dyDescent="0.25">
      <c r="F17" s="28">
        <v>20</v>
      </c>
      <c r="G17" s="10">
        <v>2.7983267283135183</v>
      </c>
      <c r="H17" s="50">
        <v>0.22016732716864817</v>
      </c>
      <c r="I17" s="54">
        <v>573</v>
      </c>
    </row>
    <row r="18" spans="6:9" x14ac:dyDescent="0.25">
      <c r="F18" s="45">
        <v>25</v>
      </c>
      <c r="G18" s="46">
        <v>2.521070897372335</v>
      </c>
      <c r="H18" s="51">
        <v>0.24789291026276647</v>
      </c>
      <c r="I18" s="55">
        <v>516</v>
      </c>
    </row>
    <row r="19" spans="6:9" x14ac:dyDescent="0.25">
      <c r="F19" s="28">
        <v>30</v>
      </c>
      <c r="G19" s="10">
        <v>2.2518412663515446</v>
      </c>
      <c r="H19" s="50">
        <v>0.27481587336484553</v>
      </c>
      <c r="I19" s="54">
        <v>461</v>
      </c>
    </row>
    <row r="20" spans="6:9" x14ac:dyDescent="0.25">
      <c r="F20" s="39">
        <v>40</v>
      </c>
      <c r="G20" s="40">
        <v>1.7566165023352363</v>
      </c>
      <c r="H20" s="52">
        <v>0.32433834976647641</v>
      </c>
      <c r="I20" s="56">
        <v>359</v>
      </c>
    </row>
  </sheetData>
  <phoneticPr fontId="10" type="noConversion"/>
  <conditionalFormatting sqref="K12">
    <cfRule type="cellIs" dxfId="8" priority="2" operator="equal">
      <formula>0</formula>
    </cfRule>
  </conditionalFormatting>
  <conditionalFormatting sqref="K3:K11">
    <cfRule type="cellIs" dxfId="7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2"/>
  <sheetViews>
    <sheetView zoomScaleNormal="100" workbookViewId="0"/>
  </sheetViews>
  <sheetFormatPr defaultColWidth="9.140625" defaultRowHeight="15" x14ac:dyDescent="0.25"/>
  <cols>
    <col min="1" max="1" width="2.7109375" customWidth="1"/>
    <col min="2" max="2" width="8.28515625" customWidth="1"/>
    <col min="3" max="3" width="4.7109375" customWidth="1"/>
    <col min="4" max="4" width="8.28515625" customWidth="1"/>
    <col min="5" max="5" width="4.7109375" customWidth="1"/>
    <col min="6" max="6" width="2.7109375" customWidth="1"/>
    <col min="7" max="8" width="13.42578125" customWidth="1"/>
    <col min="9" max="9" width="2.7109375" customWidth="1"/>
    <col min="10" max="11" width="13.140625" customWidth="1"/>
    <col min="12" max="12" width="2.7109375" customWidth="1"/>
  </cols>
  <sheetData>
    <row r="2" spans="2:11" ht="15.75" x14ac:dyDescent="0.25">
      <c r="B2" s="9" t="s">
        <v>0</v>
      </c>
    </row>
    <row r="4" spans="2:11" x14ac:dyDescent="0.25">
      <c r="B4" s="165" t="s">
        <v>3</v>
      </c>
      <c r="C4" s="166"/>
      <c r="D4" s="165" t="s">
        <v>4</v>
      </c>
      <c r="E4" s="166"/>
      <c r="G4" s="22" t="str">
        <f>B4</f>
        <v>Temperature</v>
      </c>
      <c r="H4" s="23" t="str">
        <f>CONCATENATE(D4," ","Ω")</f>
        <v>Resistance  Ω</v>
      </c>
      <c r="J4" s="22" t="s">
        <v>3</v>
      </c>
      <c r="K4" s="23" t="s">
        <v>8</v>
      </c>
    </row>
    <row r="5" spans="2:11" x14ac:dyDescent="0.25">
      <c r="B5" s="4">
        <v>-10</v>
      </c>
      <c r="C5" s="5" t="s">
        <v>1</v>
      </c>
      <c r="D5" s="6">
        <v>55.2</v>
      </c>
      <c r="E5" s="5" t="s">
        <v>2</v>
      </c>
      <c r="G5" s="4">
        <f>B5</f>
        <v>-10</v>
      </c>
      <c r="H5" s="8">
        <f>D5</f>
        <v>55.2</v>
      </c>
      <c r="J5" s="4">
        <v>-10</v>
      </c>
      <c r="K5" s="10">
        <f>$D$22*(H5/($D$21+H5))</f>
        <v>4.8083623693379787</v>
      </c>
    </row>
    <row r="6" spans="2:11" x14ac:dyDescent="0.25">
      <c r="B6" s="7">
        <v>0</v>
      </c>
      <c r="C6" s="5" t="s">
        <v>1</v>
      </c>
      <c r="D6" s="6">
        <v>32.6</v>
      </c>
      <c r="E6" s="5" t="s">
        <v>2</v>
      </c>
      <c r="G6" s="4">
        <f t="shared" ref="G6:G18" si="0">B6</f>
        <v>0</v>
      </c>
      <c r="H6" s="8">
        <f t="shared" ref="H6:H18" si="1">D6</f>
        <v>32.6</v>
      </c>
      <c r="J6" s="4">
        <v>0</v>
      </c>
      <c r="K6" s="10">
        <f t="shared" ref="K6:K18" si="2">$D$22*(H6/($D$21+H6))</f>
        <v>4.6839080459770113</v>
      </c>
    </row>
    <row r="7" spans="2:11" x14ac:dyDescent="0.25">
      <c r="B7" s="7">
        <v>10</v>
      </c>
      <c r="C7" s="5" t="s">
        <v>1</v>
      </c>
      <c r="D7" s="6">
        <v>19.899999999999999</v>
      </c>
      <c r="E7" s="5" t="s">
        <v>2</v>
      </c>
      <c r="G7" s="4">
        <f t="shared" si="0"/>
        <v>10</v>
      </c>
      <c r="H7" s="8">
        <f t="shared" si="1"/>
        <v>19.899999999999999</v>
      </c>
      <c r="J7" s="4">
        <v>10</v>
      </c>
      <c r="K7" s="10">
        <f t="shared" si="2"/>
        <v>4.502262443438914</v>
      </c>
    </row>
    <row r="8" spans="2:11" x14ac:dyDescent="0.25">
      <c r="B8" s="7">
        <v>20</v>
      </c>
      <c r="C8" s="5" t="s">
        <v>1</v>
      </c>
      <c r="D8" s="6">
        <v>12.4</v>
      </c>
      <c r="E8" s="5" t="s">
        <v>2</v>
      </c>
      <c r="G8" s="4">
        <f t="shared" si="0"/>
        <v>20</v>
      </c>
      <c r="H8" s="8">
        <f t="shared" si="1"/>
        <v>12.4</v>
      </c>
      <c r="J8" s="4">
        <v>20</v>
      </c>
      <c r="K8" s="10">
        <f t="shared" si="2"/>
        <v>4.2465753424657535</v>
      </c>
    </row>
    <row r="9" spans="2:11" x14ac:dyDescent="0.25">
      <c r="B9" s="7">
        <v>25</v>
      </c>
      <c r="C9" s="5" t="s">
        <v>1</v>
      </c>
      <c r="D9" s="6">
        <v>10</v>
      </c>
      <c r="E9" s="5" t="s">
        <v>2</v>
      </c>
      <c r="G9" s="4">
        <f t="shared" si="0"/>
        <v>25</v>
      </c>
      <c r="H9" s="8">
        <f t="shared" si="1"/>
        <v>10</v>
      </c>
      <c r="J9" s="4">
        <v>25</v>
      </c>
      <c r="K9" s="10">
        <f t="shared" si="2"/>
        <v>4.0983606557377055</v>
      </c>
    </row>
    <row r="10" spans="2:11" x14ac:dyDescent="0.25">
      <c r="B10" s="7">
        <v>30</v>
      </c>
      <c r="C10" s="5" t="s">
        <v>1</v>
      </c>
      <c r="D10" s="6">
        <v>8.06</v>
      </c>
      <c r="E10" s="5" t="s">
        <v>2</v>
      </c>
      <c r="G10" s="4">
        <f t="shared" si="0"/>
        <v>30</v>
      </c>
      <c r="H10" s="8">
        <f t="shared" si="1"/>
        <v>8.06</v>
      </c>
      <c r="J10" s="4">
        <v>30</v>
      </c>
      <c r="K10" s="10">
        <f t="shared" si="2"/>
        <v>3.9278752436647171</v>
      </c>
    </row>
    <row r="11" spans="2:11" x14ac:dyDescent="0.25">
      <c r="B11" s="4">
        <v>40</v>
      </c>
      <c r="C11" s="5" t="s">
        <v>1</v>
      </c>
      <c r="D11" s="6">
        <v>5.33</v>
      </c>
      <c r="E11" s="5" t="s">
        <v>2</v>
      </c>
      <c r="G11" s="4">
        <f t="shared" si="0"/>
        <v>40</v>
      </c>
      <c r="H11" s="8">
        <f t="shared" si="1"/>
        <v>5.33</v>
      </c>
      <c r="J11" s="4">
        <v>40</v>
      </c>
      <c r="K11" s="10">
        <f t="shared" si="2"/>
        <v>3.5391766268260296</v>
      </c>
    </row>
    <row r="12" spans="2:11" x14ac:dyDescent="0.25">
      <c r="B12" s="7">
        <v>50</v>
      </c>
      <c r="C12" s="5" t="s">
        <v>1</v>
      </c>
      <c r="D12" s="6">
        <v>3.6</v>
      </c>
      <c r="E12" s="5" t="s">
        <v>2</v>
      </c>
      <c r="G12" s="4">
        <f t="shared" si="0"/>
        <v>50</v>
      </c>
      <c r="H12" s="8">
        <f t="shared" si="1"/>
        <v>3.6</v>
      </c>
      <c r="J12" s="4">
        <v>50</v>
      </c>
      <c r="K12" s="10">
        <f t="shared" si="2"/>
        <v>3.1034482758620685</v>
      </c>
    </row>
    <row r="13" spans="2:11" x14ac:dyDescent="0.25">
      <c r="B13" s="7">
        <v>60</v>
      </c>
      <c r="C13" s="5" t="s">
        <v>1</v>
      </c>
      <c r="D13" s="6">
        <v>2.4900000000000002</v>
      </c>
      <c r="E13" s="5" t="s">
        <v>2</v>
      </c>
      <c r="G13" s="4">
        <f t="shared" si="0"/>
        <v>60</v>
      </c>
      <c r="H13" s="8">
        <f t="shared" si="1"/>
        <v>2.4900000000000002</v>
      </c>
      <c r="J13" s="4">
        <v>60</v>
      </c>
      <c r="K13" s="10">
        <f t="shared" si="2"/>
        <v>2.6545842217484008</v>
      </c>
    </row>
    <row r="14" spans="2:11" x14ac:dyDescent="0.25">
      <c r="B14" s="7">
        <v>70</v>
      </c>
      <c r="C14" s="5" t="s">
        <v>1</v>
      </c>
      <c r="D14" s="6">
        <v>1.75</v>
      </c>
      <c r="E14" s="5" t="s">
        <v>2</v>
      </c>
      <c r="G14" s="4">
        <f t="shared" si="0"/>
        <v>70</v>
      </c>
      <c r="H14" s="8">
        <f t="shared" si="1"/>
        <v>1.75</v>
      </c>
      <c r="J14" s="4">
        <v>70</v>
      </c>
      <c r="K14" s="10">
        <f t="shared" si="2"/>
        <v>2.2151898734177213</v>
      </c>
    </row>
    <row r="15" spans="2:11" x14ac:dyDescent="0.25">
      <c r="B15" s="7">
        <v>80</v>
      </c>
      <c r="C15" s="5" t="s">
        <v>1</v>
      </c>
      <c r="D15" s="6">
        <v>1.25</v>
      </c>
      <c r="E15" s="5" t="s">
        <v>2</v>
      </c>
      <c r="G15" s="4">
        <f t="shared" si="0"/>
        <v>80</v>
      </c>
      <c r="H15" s="8">
        <f t="shared" si="1"/>
        <v>1.25</v>
      </c>
      <c r="J15" s="4">
        <v>80</v>
      </c>
      <c r="K15" s="10">
        <f t="shared" si="2"/>
        <v>1.8115942028985508</v>
      </c>
    </row>
    <row r="16" spans="2:11" x14ac:dyDescent="0.25">
      <c r="B16" s="7">
        <v>90</v>
      </c>
      <c r="C16" s="5" t="s">
        <v>1</v>
      </c>
      <c r="D16" s="6">
        <v>0.91</v>
      </c>
      <c r="E16" s="5" t="s">
        <v>2</v>
      </c>
      <c r="G16" s="4">
        <f t="shared" si="0"/>
        <v>90</v>
      </c>
      <c r="H16" s="8">
        <f t="shared" si="1"/>
        <v>0.91</v>
      </c>
      <c r="J16" s="4">
        <v>90</v>
      </c>
      <c r="K16" s="10">
        <f t="shared" si="2"/>
        <v>1.463022508038585</v>
      </c>
    </row>
    <row r="17" spans="2:11" x14ac:dyDescent="0.25">
      <c r="B17" s="7">
        <v>100</v>
      </c>
      <c r="C17" s="5" t="s">
        <v>1</v>
      </c>
      <c r="D17" s="6">
        <v>0.67</v>
      </c>
      <c r="E17" s="5" t="s">
        <v>2</v>
      </c>
      <c r="G17" s="4">
        <f t="shared" si="0"/>
        <v>100</v>
      </c>
      <c r="H17" s="8">
        <f t="shared" si="1"/>
        <v>0.67</v>
      </c>
      <c r="J17" s="4">
        <v>100</v>
      </c>
      <c r="K17" s="10">
        <f t="shared" si="2"/>
        <v>1.1672473867595818</v>
      </c>
    </row>
    <row r="18" spans="2:11" x14ac:dyDescent="0.25">
      <c r="B18" s="1">
        <v>110</v>
      </c>
      <c r="C18" s="2" t="s">
        <v>1</v>
      </c>
      <c r="D18" s="3">
        <v>0.51</v>
      </c>
      <c r="E18" s="2" t="s">
        <v>2</v>
      </c>
      <c r="G18" s="4">
        <f t="shared" si="0"/>
        <v>110</v>
      </c>
      <c r="H18" s="8">
        <f t="shared" si="1"/>
        <v>0.51</v>
      </c>
      <c r="J18" s="4">
        <v>110</v>
      </c>
      <c r="K18" s="10">
        <f t="shared" si="2"/>
        <v>0.94095940959409596</v>
      </c>
    </row>
    <row r="21" spans="2:11" x14ac:dyDescent="0.25">
      <c r="C21" s="15" t="s">
        <v>5</v>
      </c>
      <c r="D21" s="11">
        <v>2.2000000000000002</v>
      </c>
      <c r="E21" s="12" t="s">
        <v>2</v>
      </c>
      <c r="G21" s="167" t="s">
        <v>10</v>
      </c>
      <c r="H21" s="168"/>
    </row>
    <row r="22" spans="2:11" x14ac:dyDescent="0.25">
      <c r="C22" s="1" t="s">
        <v>6</v>
      </c>
      <c r="D22" s="13">
        <v>5</v>
      </c>
      <c r="E22" s="14" t="s">
        <v>7</v>
      </c>
      <c r="G22" s="20" t="s">
        <v>11</v>
      </c>
      <c r="H22" s="21" t="s">
        <v>9</v>
      </c>
    </row>
  </sheetData>
  <mergeCells count="3">
    <mergeCell ref="B4:C4"/>
    <mergeCell ref="D4:E4"/>
    <mergeCell ref="G21:H21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1A267-1E61-40A3-ADD9-E28C7B09576A}">
  <dimension ref="B2:N17"/>
  <sheetViews>
    <sheetView workbookViewId="0"/>
  </sheetViews>
  <sheetFormatPr defaultColWidth="9.140625" defaultRowHeight="15" x14ac:dyDescent="0.25"/>
  <cols>
    <col min="1" max="1" width="2.28515625" customWidth="1"/>
    <col min="3" max="3" width="15.85546875" customWidth="1"/>
    <col min="4" max="4" width="6" customWidth="1"/>
    <col min="5" max="5" width="4.7109375" customWidth="1"/>
    <col min="6" max="6" width="6" customWidth="1"/>
    <col min="7" max="7" width="5.28515625" customWidth="1"/>
    <col min="8" max="8" width="4.7109375" customWidth="1"/>
    <col min="9" max="9" width="6" customWidth="1"/>
  </cols>
  <sheetData>
    <row r="2" spans="2:14" x14ac:dyDescent="0.25">
      <c r="B2" s="30" t="s">
        <v>14</v>
      </c>
    </row>
    <row r="4" spans="2:14" x14ac:dyDescent="0.25">
      <c r="D4" s="38" t="s">
        <v>13</v>
      </c>
      <c r="E4" s="30"/>
      <c r="F4" s="30" t="s">
        <v>19</v>
      </c>
      <c r="G4" s="30"/>
      <c r="H4" s="30"/>
      <c r="I4" s="30" t="s">
        <v>60</v>
      </c>
    </row>
    <row r="5" spans="2:14" x14ac:dyDescent="0.25">
      <c r="C5" s="32" t="s">
        <v>17</v>
      </c>
      <c r="D5" s="33">
        <v>241</v>
      </c>
      <c r="E5" s="34" t="s">
        <v>18</v>
      </c>
      <c r="F5" s="33">
        <v>2.25</v>
      </c>
      <c r="G5" s="32" t="s">
        <v>15</v>
      </c>
      <c r="H5" s="34" t="s">
        <v>18</v>
      </c>
      <c r="I5" s="33">
        <v>55</v>
      </c>
      <c r="J5" s="32" t="s">
        <v>1</v>
      </c>
      <c r="L5" s="77" t="s">
        <v>28</v>
      </c>
      <c r="M5" s="78">
        <v>1170</v>
      </c>
      <c r="N5" s="79" t="s">
        <v>23</v>
      </c>
    </row>
    <row r="6" spans="2:14" x14ac:dyDescent="0.25">
      <c r="D6" s="29"/>
      <c r="E6" s="29"/>
      <c r="F6" s="29"/>
      <c r="H6" s="29"/>
      <c r="I6" s="29"/>
    </row>
    <row r="7" spans="2:14" x14ac:dyDescent="0.25">
      <c r="C7" s="35" t="s">
        <v>16</v>
      </c>
      <c r="D7" s="36">
        <v>379</v>
      </c>
      <c r="E7" s="37" t="s">
        <v>18</v>
      </c>
      <c r="F7" s="36">
        <v>1.75</v>
      </c>
      <c r="G7" s="35" t="s">
        <v>15</v>
      </c>
      <c r="H7" s="37" t="s">
        <v>18</v>
      </c>
      <c r="I7" s="36">
        <v>38</v>
      </c>
      <c r="J7" s="35" t="s">
        <v>1</v>
      </c>
    </row>
    <row r="9" spans="2:14" x14ac:dyDescent="0.25">
      <c r="C9" s="31">
        <v>43696</v>
      </c>
    </row>
    <row r="12" spans="2:14" x14ac:dyDescent="0.25">
      <c r="D12" s="38" t="s">
        <v>13</v>
      </c>
      <c r="E12" s="30"/>
      <c r="F12" s="30" t="s">
        <v>19</v>
      </c>
      <c r="G12" s="30"/>
      <c r="H12" s="30"/>
      <c r="I12" s="30" t="s">
        <v>20</v>
      </c>
    </row>
    <row r="13" spans="2:14" x14ac:dyDescent="0.25">
      <c r="C13" s="32" t="s">
        <v>17</v>
      </c>
      <c r="D13" s="33">
        <v>730</v>
      </c>
      <c r="E13" s="34" t="s">
        <v>18</v>
      </c>
      <c r="F13" s="33">
        <v>2.25</v>
      </c>
      <c r="G13" s="32" t="s">
        <v>15</v>
      </c>
      <c r="H13" s="34" t="s">
        <v>18</v>
      </c>
      <c r="I13" s="33">
        <v>52</v>
      </c>
      <c r="J13" s="32" t="s">
        <v>1</v>
      </c>
    </row>
    <row r="14" spans="2:14" x14ac:dyDescent="0.25">
      <c r="D14" s="29"/>
      <c r="E14" s="29"/>
      <c r="F14" s="29"/>
      <c r="H14" s="29"/>
      <c r="I14" s="29"/>
    </row>
    <row r="15" spans="2:14" x14ac:dyDescent="0.25">
      <c r="C15" s="35" t="s">
        <v>16</v>
      </c>
      <c r="D15" s="36">
        <v>830</v>
      </c>
      <c r="E15" s="37" t="s">
        <v>18</v>
      </c>
      <c r="F15" s="36">
        <v>1.75</v>
      </c>
      <c r="G15" s="35" t="s">
        <v>15</v>
      </c>
      <c r="H15" s="37" t="s">
        <v>18</v>
      </c>
      <c r="I15" s="36">
        <v>42</v>
      </c>
      <c r="J15" s="35" t="s">
        <v>1</v>
      </c>
    </row>
    <row r="17" spans="3:3" x14ac:dyDescent="0.25">
      <c r="C17" s="31">
        <v>43696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80BBE-0BE6-42AE-A6C2-BB0B1635CABF}">
  <dimension ref="B2:F16"/>
  <sheetViews>
    <sheetView workbookViewId="0"/>
  </sheetViews>
  <sheetFormatPr defaultRowHeight="15" x14ac:dyDescent="0.25"/>
  <cols>
    <col min="1" max="1" width="2.7109375" customWidth="1"/>
  </cols>
  <sheetData>
    <row r="2" spans="2:6" x14ac:dyDescent="0.25">
      <c r="B2" s="30" t="s">
        <v>63</v>
      </c>
      <c r="E2" s="121" t="s">
        <v>13</v>
      </c>
      <c r="F2" s="121" t="s">
        <v>49</v>
      </c>
    </row>
    <row r="3" spans="2:6" x14ac:dyDescent="0.25">
      <c r="E3">
        <v>317</v>
      </c>
      <c r="F3">
        <v>45</v>
      </c>
    </row>
    <row r="4" spans="2:6" x14ac:dyDescent="0.25">
      <c r="B4" s="142" t="s">
        <v>39</v>
      </c>
      <c r="C4" s="142" t="s">
        <v>65</v>
      </c>
      <c r="E4">
        <v>318</v>
      </c>
    </row>
    <row r="5" spans="2:6" x14ac:dyDescent="0.25">
      <c r="B5" s="143" t="s">
        <v>33</v>
      </c>
      <c r="C5" s="143">
        <v>6000</v>
      </c>
      <c r="E5">
        <v>319</v>
      </c>
    </row>
    <row r="6" spans="2:6" x14ac:dyDescent="0.25">
      <c r="B6" s="143" t="s">
        <v>34</v>
      </c>
      <c r="C6" s="143">
        <v>3000</v>
      </c>
      <c r="E6">
        <v>320</v>
      </c>
    </row>
    <row r="7" spans="2:6" x14ac:dyDescent="0.25">
      <c r="E7">
        <v>321</v>
      </c>
    </row>
    <row r="8" spans="2:6" x14ac:dyDescent="0.25">
      <c r="E8">
        <v>322</v>
      </c>
    </row>
    <row r="9" spans="2:6" x14ac:dyDescent="0.25">
      <c r="E9">
        <v>323</v>
      </c>
    </row>
    <row r="10" spans="2:6" x14ac:dyDescent="0.25">
      <c r="C10" s="141"/>
      <c r="E10" s="141">
        <v>324</v>
      </c>
    </row>
    <row r="11" spans="2:6" x14ac:dyDescent="0.25">
      <c r="C11" s="141"/>
      <c r="E11" s="141">
        <v>325</v>
      </c>
      <c r="F11">
        <v>44</v>
      </c>
    </row>
    <row r="12" spans="2:6" x14ac:dyDescent="0.25">
      <c r="C12" s="141" t="s">
        <v>64</v>
      </c>
      <c r="E12" s="141">
        <v>326</v>
      </c>
    </row>
    <row r="13" spans="2:6" x14ac:dyDescent="0.25">
      <c r="C13" s="141"/>
      <c r="E13" s="141">
        <v>327</v>
      </c>
    </row>
    <row r="14" spans="2:6" x14ac:dyDescent="0.25">
      <c r="C14" s="141"/>
      <c r="E14" s="141">
        <v>328</v>
      </c>
    </row>
    <row r="15" spans="2:6" x14ac:dyDescent="0.25">
      <c r="E15">
        <v>329</v>
      </c>
    </row>
    <row r="16" spans="2:6" x14ac:dyDescent="0.25">
      <c r="E16">
        <v>330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436D-DFE2-4DAF-A0BC-2A553066C113}">
  <dimension ref="B2:X148"/>
  <sheetViews>
    <sheetView topLeftCell="A52" workbookViewId="0">
      <selection activeCell="K68" sqref="K68"/>
    </sheetView>
  </sheetViews>
  <sheetFormatPr defaultColWidth="9.140625" defaultRowHeight="15" x14ac:dyDescent="0.25"/>
  <cols>
    <col min="1" max="1" width="2.7109375" customWidth="1"/>
    <col min="2" max="2" width="5.7109375" customWidth="1"/>
    <col min="3" max="3" width="12.5703125" bestFit="1" customWidth="1"/>
    <col min="7" max="7" width="11.85546875" bestFit="1" customWidth="1"/>
    <col min="8" max="8" width="5.7109375" customWidth="1"/>
    <col min="9" max="9" width="2.7109375" customWidth="1"/>
    <col min="10" max="10" width="12.5703125" bestFit="1" customWidth="1"/>
    <col min="11" max="11" width="10.28515625" customWidth="1"/>
    <col min="13" max="13" width="10.5703125" bestFit="1" customWidth="1"/>
    <col min="14" max="14" width="9.140625" style="89"/>
    <col min="15" max="15" width="2.7109375" customWidth="1"/>
    <col min="16" max="16" width="4.7109375" customWidth="1"/>
  </cols>
  <sheetData>
    <row r="2" spans="2:17" x14ac:dyDescent="0.25">
      <c r="C2" s="26" t="s">
        <v>3</v>
      </c>
      <c r="D2" s="19" t="s">
        <v>8</v>
      </c>
      <c r="E2" s="19" t="s">
        <v>21</v>
      </c>
      <c r="F2" s="27" t="s">
        <v>13</v>
      </c>
      <c r="G2" s="27" t="s">
        <v>29</v>
      </c>
      <c r="J2" s="97" t="s">
        <v>3</v>
      </c>
      <c r="K2" s="98" t="s">
        <v>13</v>
      </c>
      <c r="L2" s="98" t="s">
        <v>29</v>
      </c>
      <c r="M2" s="98" t="s">
        <v>30</v>
      </c>
      <c r="N2" s="98" t="s">
        <v>27</v>
      </c>
    </row>
    <row r="3" spans="2:17" x14ac:dyDescent="0.25">
      <c r="C3" s="28">
        <f>'T7335D Datasheet'!J5</f>
        <v>-20</v>
      </c>
      <c r="D3" s="10">
        <f>'T7335D Datasheet'!K5</f>
        <v>4.539849070495122</v>
      </c>
      <c r="E3" s="10">
        <f>'T7335D Datasheet'!L5</f>
        <v>4.6015092950487758E-2</v>
      </c>
      <c r="F3" s="28">
        <f>'T7335D Datasheet'!M5</f>
        <v>929</v>
      </c>
      <c r="G3" s="28">
        <f>ROUND(F3,0)</f>
        <v>929</v>
      </c>
      <c r="H3" s="81"/>
      <c r="J3" s="112">
        <f>C3</f>
        <v>-20</v>
      </c>
      <c r="K3" s="112">
        <f>G3</f>
        <v>929</v>
      </c>
      <c r="L3" s="112">
        <f>ROUND(K3,0)</f>
        <v>929</v>
      </c>
      <c r="M3" s="113" t="s">
        <v>31</v>
      </c>
      <c r="N3" s="113" t="s">
        <v>31</v>
      </c>
      <c r="Q3" s="81"/>
    </row>
    <row r="4" spans="2:17" x14ac:dyDescent="0.25">
      <c r="B4" s="80">
        <f t="shared" ref="B4:B11" si="0">C4-C3</f>
        <v>10</v>
      </c>
      <c r="C4" s="28">
        <f>'T7335D Datasheet'!J6</f>
        <v>-10</v>
      </c>
      <c r="D4" s="10">
        <f>'T7335D Datasheet'!K6</f>
        <v>4.2452830188679247</v>
      </c>
      <c r="E4" s="10">
        <f>'T7335D Datasheet'!L6</f>
        <v>7.5471698113207558E-2</v>
      </c>
      <c r="F4" s="28">
        <f>'T7335D Datasheet'!M6</f>
        <v>869</v>
      </c>
      <c r="G4" s="28">
        <f t="shared" ref="G4:G20" si="1">ROUND(F4,0)</f>
        <v>869</v>
      </c>
      <c r="H4" s="81">
        <f t="shared" ref="H4:H20" si="2">G3-G4</f>
        <v>60</v>
      </c>
      <c r="J4">
        <v>-19</v>
      </c>
      <c r="K4" s="80">
        <f t="shared" ref="K4:K12" si="3">K3-($H$4/$B$4)</f>
        <v>923</v>
      </c>
      <c r="L4" s="80">
        <f>ROUND(K4,0)</f>
        <v>923</v>
      </c>
      <c r="M4" s="87" t="str">
        <f>IF(L4&lt;L3,"OK","Too small")</f>
        <v>OK</v>
      </c>
      <c r="N4" s="90">
        <f>(L4/L3)-1</f>
        <v>-6.4585575888052027E-3</v>
      </c>
      <c r="Q4" s="81"/>
    </row>
    <row r="5" spans="2:17" x14ac:dyDescent="0.25">
      <c r="B5" s="80">
        <f t="shared" si="0"/>
        <v>10</v>
      </c>
      <c r="C5" s="28">
        <f>'T7335D Datasheet'!J7</f>
        <v>0</v>
      </c>
      <c r="D5" s="10">
        <f>'T7335D Datasheet'!K7</f>
        <v>3.8428604489701454</v>
      </c>
      <c r="E5" s="10">
        <f>'T7335D Datasheet'!L7</f>
        <v>0.11571395510298542</v>
      </c>
      <c r="F5" s="28">
        <f>'T7335D Datasheet'!M7</f>
        <v>786</v>
      </c>
      <c r="G5" s="28">
        <f t="shared" si="1"/>
        <v>786</v>
      </c>
      <c r="H5" s="81">
        <f t="shared" si="2"/>
        <v>83</v>
      </c>
      <c r="J5">
        <v>-18</v>
      </c>
      <c r="K5" s="80">
        <f t="shared" si="3"/>
        <v>917</v>
      </c>
      <c r="L5" s="80">
        <f t="shared" ref="L5:L68" si="4">ROUND(K5,0)</f>
        <v>917</v>
      </c>
      <c r="M5" s="87" t="str">
        <f t="shared" ref="M5:M68" si="5">IF(L5&lt;L4,"OK","Too small")</f>
        <v>OK</v>
      </c>
      <c r="N5" s="90">
        <f t="shared" ref="N5:N68" si="6">(L5/L4)-1</f>
        <v>-6.50054171180936E-3</v>
      </c>
      <c r="Q5" s="81"/>
    </row>
    <row r="6" spans="2:17" x14ac:dyDescent="0.25">
      <c r="B6" s="80">
        <f t="shared" si="0"/>
        <v>10</v>
      </c>
      <c r="C6" s="28">
        <f>'T7335D Datasheet'!J8</f>
        <v>10</v>
      </c>
      <c r="D6" s="10">
        <f>'T7335D Datasheet'!K8</f>
        <v>3.3465608465608465</v>
      </c>
      <c r="E6" s="10">
        <f>'T7335D Datasheet'!L8</f>
        <v>0.16534391534391535</v>
      </c>
      <c r="F6" s="28">
        <f>'T7335D Datasheet'!M8</f>
        <v>685</v>
      </c>
      <c r="G6" s="28">
        <f t="shared" si="1"/>
        <v>685</v>
      </c>
      <c r="H6" s="81">
        <f t="shared" si="2"/>
        <v>101</v>
      </c>
      <c r="J6" s="80">
        <v>-17</v>
      </c>
      <c r="K6" s="80">
        <f t="shared" si="3"/>
        <v>911</v>
      </c>
      <c r="L6" s="80">
        <f t="shared" si="4"/>
        <v>911</v>
      </c>
      <c r="M6" s="87" t="str">
        <f t="shared" si="5"/>
        <v>OK</v>
      </c>
      <c r="N6" s="90">
        <f t="shared" si="6"/>
        <v>-6.5430752453653485E-3</v>
      </c>
      <c r="Q6" s="81"/>
    </row>
    <row r="7" spans="2:17" x14ac:dyDescent="0.25">
      <c r="B7" s="80">
        <f t="shared" si="0"/>
        <v>10</v>
      </c>
      <c r="C7" s="28">
        <f>'T7335D Datasheet'!J9</f>
        <v>20</v>
      </c>
      <c r="D7" s="10">
        <f>'T7335D Datasheet'!K9</f>
        <v>2.7983267283135183</v>
      </c>
      <c r="E7" s="10">
        <f>'T7335D Datasheet'!L9</f>
        <v>0.22016732716864817</v>
      </c>
      <c r="F7" s="28">
        <f>'T7335D Datasheet'!M9</f>
        <v>573</v>
      </c>
      <c r="G7" s="28">
        <f t="shared" si="1"/>
        <v>573</v>
      </c>
      <c r="H7" s="81">
        <f t="shared" si="2"/>
        <v>112</v>
      </c>
      <c r="J7">
        <v>-16</v>
      </c>
      <c r="K7" s="80">
        <f t="shared" si="3"/>
        <v>905</v>
      </c>
      <c r="L7" s="80">
        <f t="shared" si="4"/>
        <v>905</v>
      </c>
      <c r="M7" s="87" t="str">
        <f t="shared" si="5"/>
        <v>OK</v>
      </c>
      <c r="N7" s="90">
        <f t="shared" si="6"/>
        <v>-6.5861690450055299E-3</v>
      </c>
      <c r="Q7" s="81"/>
    </row>
    <row r="8" spans="2:17" x14ac:dyDescent="0.25">
      <c r="B8" s="80">
        <f t="shared" si="0"/>
        <v>5</v>
      </c>
      <c r="C8" s="45">
        <f>'T7335D Datasheet'!J10</f>
        <v>25</v>
      </c>
      <c r="D8" s="46">
        <f>'T7335D Datasheet'!K10</f>
        <v>2.521070897372335</v>
      </c>
      <c r="E8" s="46">
        <f>'T7335D Datasheet'!L10</f>
        <v>0.24789291026276647</v>
      </c>
      <c r="F8" s="45">
        <f>'T7335D Datasheet'!M10</f>
        <v>516</v>
      </c>
      <c r="G8" s="45">
        <f t="shared" si="1"/>
        <v>516</v>
      </c>
      <c r="H8" s="81">
        <f t="shared" si="2"/>
        <v>57</v>
      </c>
      <c r="J8">
        <v>-15</v>
      </c>
      <c r="K8" s="80">
        <f t="shared" si="3"/>
        <v>899</v>
      </c>
      <c r="L8" s="80">
        <f t="shared" si="4"/>
        <v>899</v>
      </c>
      <c r="M8" s="96" t="str">
        <f t="shared" si="5"/>
        <v>OK</v>
      </c>
      <c r="N8" s="90">
        <f t="shared" si="6"/>
        <v>-6.6298342541436517E-3</v>
      </c>
      <c r="Q8" s="81"/>
    </row>
    <row r="9" spans="2:17" x14ac:dyDescent="0.25">
      <c r="B9" s="80">
        <f t="shared" si="0"/>
        <v>5</v>
      </c>
      <c r="C9" s="28">
        <f>'T7335D Datasheet'!J11</f>
        <v>30</v>
      </c>
      <c r="D9" s="10">
        <f>'T7335D Datasheet'!K11</f>
        <v>2.2518412663515446</v>
      </c>
      <c r="E9" s="10">
        <f>'T7335D Datasheet'!L11</f>
        <v>0.27481587336484553</v>
      </c>
      <c r="F9" s="28">
        <f>'T7335D Datasheet'!M11</f>
        <v>461</v>
      </c>
      <c r="G9" s="28">
        <f t="shared" si="1"/>
        <v>461</v>
      </c>
      <c r="H9" s="81">
        <f t="shared" si="2"/>
        <v>55</v>
      </c>
      <c r="I9" s="83"/>
      <c r="J9" s="80">
        <v>-14</v>
      </c>
      <c r="K9" s="80">
        <f t="shared" si="3"/>
        <v>893</v>
      </c>
      <c r="L9" s="80">
        <f t="shared" si="4"/>
        <v>893</v>
      </c>
      <c r="M9" s="87" t="str">
        <f t="shared" si="5"/>
        <v>OK</v>
      </c>
      <c r="N9" s="90">
        <f t="shared" si="6"/>
        <v>-6.6740823136818284E-3</v>
      </c>
      <c r="Q9" s="81"/>
    </row>
    <row r="10" spans="2:17" x14ac:dyDescent="0.25">
      <c r="B10" s="80">
        <f t="shared" si="0"/>
        <v>10</v>
      </c>
      <c r="C10" s="39">
        <f>'T7335D Datasheet'!J12</f>
        <v>40</v>
      </c>
      <c r="D10" s="40">
        <f>'T7335D Datasheet'!K12</f>
        <v>1.7566165023352363</v>
      </c>
      <c r="E10" s="40">
        <f>'T7335D Datasheet'!L12</f>
        <v>0.32433834976647641</v>
      </c>
      <c r="F10" s="39">
        <f>'T7335D Datasheet'!M12</f>
        <v>359</v>
      </c>
      <c r="G10" s="39">
        <f t="shared" si="1"/>
        <v>359</v>
      </c>
      <c r="H10" s="81">
        <f t="shared" si="2"/>
        <v>102</v>
      </c>
      <c r="J10">
        <v>-13</v>
      </c>
      <c r="K10" s="80">
        <f t="shared" si="3"/>
        <v>887</v>
      </c>
      <c r="L10" s="80">
        <f t="shared" si="4"/>
        <v>887</v>
      </c>
      <c r="M10" s="87" t="str">
        <f t="shared" si="5"/>
        <v>OK</v>
      </c>
      <c r="N10" s="90">
        <f t="shared" si="6"/>
        <v>-6.7189249720044364E-3</v>
      </c>
      <c r="Q10" s="81"/>
    </row>
    <row r="11" spans="2:17" x14ac:dyDescent="0.25">
      <c r="B11" s="80">
        <f t="shared" si="0"/>
        <v>10</v>
      </c>
      <c r="C11" s="39">
        <f>'T7335D Datasheet'!J13</f>
        <v>50</v>
      </c>
      <c r="D11" s="40">
        <f>'T7335D Datasheet'!K13</f>
        <v>1.340481592622411</v>
      </c>
      <c r="E11" s="40">
        <f>'T7335D Datasheet'!L13</f>
        <v>0.36595184073775894</v>
      </c>
      <c r="F11" s="39">
        <f>'T7335D Datasheet'!M13</f>
        <v>274</v>
      </c>
      <c r="G11" s="39">
        <f t="shared" si="1"/>
        <v>274</v>
      </c>
      <c r="H11" s="81">
        <f t="shared" si="2"/>
        <v>85</v>
      </c>
      <c r="J11">
        <v>-12</v>
      </c>
      <c r="K11" s="80">
        <f t="shared" si="3"/>
        <v>881</v>
      </c>
      <c r="L11" s="80">
        <f t="shared" si="4"/>
        <v>881</v>
      </c>
      <c r="M11" s="87" t="str">
        <f t="shared" si="5"/>
        <v>OK</v>
      </c>
      <c r="N11" s="90">
        <f t="shared" si="6"/>
        <v>-6.7643742953776842E-3</v>
      </c>
      <c r="Q11" s="81"/>
    </row>
    <row r="12" spans="2:17" x14ac:dyDescent="0.25">
      <c r="B12" s="80">
        <f>C12-C11</f>
        <v>10</v>
      </c>
      <c r="C12" s="39">
        <f>'T7335D Datasheet'!J14</f>
        <v>60</v>
      </c>
      <c r="D12" s="40">
        <f>'T7335D Datasheet'!K14</f>
        <v>1.0095770151636072</v>
      </c>
      <c r="E12" s="40">
        <f>'T7335D Datasheet'!L14</f>
        <v>0.39904229848363931</v>
      </c>
      <c r="F12" s="39">
        <f>'T7335D Datasheet'!M14</f>
        <v>207</v>
      </c>
      <c r="G12" s="39">
        <f t="shared" si="1"/>
        <v>207</v>
      </c>
      <c r="H12" s="81">
        <f t="shared" si="2"/>
        <v>67</v>
      </c>
      <c r="J12">
        <v>-11</v>
      </c>
      <c r="K12" s="80">
        <f t="shared" si="3"/>
        <v>875</v>
      </c>
      <c r="L12" s="80">
        <f t="shared" si="4"/>
        <v>875</v>
      </c>
      <c r="M12" s="87" t="str">
        <f t="shared" si="5"/>
        <v>OK</v>
      </c>
      <c r="N12" s="90">
        <f t="shared" si="6"/>
        <v>-6.8104426787741756E-3</v>
      </c>
      <c r="Q12" s="81"/>
    </row>
    <row r="13" spans="2:17" x14ac:dyDescent="0.25">
      <c r="B13" s="80">
        <f>C13-C12</f>
        <v>10</v>
      </c>
      <c r="C13" s="28">
        <f>'T7335D Datasheet'!J15</f>
        <v>70</v>
      </c>
      <c r="D13" s="10">
        <f>'T7335D Datasheet'!K15</f>
        <v>0.75623832965540649</v>
      </c>
      <c r="E13" s="10">
        <f>'T7335D Datasheet'!L15</f>
        <v>0.42437616703445935</v>
      </c>
      <c r="F13" s="28">
        <f>'T7335D Datasheet'!M15</f>
        <v>155</v>
      </c>
      <c r="G13" s="28">
        <f t="shared" si="1"/>
        <v>155</v>
      </c>
      <c r="H13" s="81">
        <f t="shared" si="2"/>
        <v>52</v>
      </c>
      <c r="J13" s="112">
        <f>C4</f>
        <v>-10</v>
      </c>
      <c r="K13" s="112">
        <f>G4</f>
        <v>869</v>
      </c>
      <c r="L13" s="112">
        <f t="shared" si="4"/>
        <v>869</v>
      </c>
      <c r="M13" s="114" t="str">
        <f t="shared" si="5"/>
        <v>OK</v>
      </c>
      <c r="N13" s="115">
        <f t="shared" si="6"/>
        <v>-6.857142857142895E-3</v>
      </c>
      <c r="Q13" s="81"/>
    </row>
    <row r="14" spans="2:17" x14ac:dyDescent="0.25">
      <c r="B14" s="80">
        <f t="shared" ref="B14:B20" si="7">C14-C13</f>
        <v>10</v>
      </c>
      <c r="C14" s="28">
        <f>'T7335D Datasheet'!J16</f>
        <v>80</v>
      </c>
      <c r="D14" s="10">
        <f>'T7335D Datasheet'!K16</f>
        <v>0.5665898208902288</v>
      </c>
      <c r="E14" s="10">
        <f>'T7335D Datasheet'!L16</f>
        <v>0.44334101791097708</v>
      </c>
      <c r="F14" s="28">
        <f>'T7335D Datasheet'!M16</f>
        <v>116</v>
      </c>
      <c r="G14" s="28">
        <f t="shared" si="1"/>
        <v>116</v>
      </c>
      <c r="H14" s="81">
        <f t="shared" si="2"/>
        <v>39</v>
      </c>
      <c r="J14">
        <v>-9</v>
      </c>
      <c r="K14" s="80">
        <f t="shared" ref="K14:K22" si="8">K13-($H$5/$B$5)</f>
        <v>860.7</v>
      </c>
      <c r="L14" s="80">
        <f t="shared" si="4"/>
        <v>861</v>
      </c>
      <c r="M14" s="87" t="str">
        <f t="shared" si="5"/>
        <v>OK</v>
      </c>
      <c r="N14" s="90">
        <f t="shared" si="6"/>
        <v>-9.205983889528202E-3</v>
      </c>
      <c r="Q14" s="81"/>
    </row>
    <row r="15" spans="2:17" x14ac:dyDescent="0.25">
      <c r="B15" s="80">
        <f t="shared" si="7"/>
        <v>5</v>
      </c>
      <c r="C15" s="28">
        <f>'T7335D Datasheet'!J17</f>
        <v>85</v>
      </c>
      <c r="D15" s="10">
        <f>'T7335D Datasheet'!K17</f>
        <v>0.49102714401659303</v>
      </c>
      <c r="E15" s="10">
        <f>'T7335D Datasheet'!L17</f>
        <v>0.45089728559834069</v>
      </c>
      <c r="F15" s="28">
        <f>'T7335D Datasheet'!M17</f>
        <v>100</v>
      </c>
      <c r="G15" s="28">
        <f t="shared" si="1"/>
        <v>100</v>
      </c>
      <c r="H15" s="81">
        <f t="shared" si="2"/>
        <v>16</v>
      </c>
      <c r="J15">
        <v>-8</v>
      </c>
      <c r="K15" s="80">
        <f t="shared" si="8"/>
        <v>852.40000000000009</v>
      </c>
      <c r="L15" s="80">
        <f t="shared" si="4"/>
        <v>852</v>
      </c>
      <c r="M15" s="87" t="str">
        <f t="shared" si="5"/>
        <v>OK</v>
      </c>
      <c r="N15" s="90">
        <f t="shared" si="6"/>
        <v>-1.0452961672473893E-2</v>
      </c>
      <c r="Q15" s="81"/>
    </row>
    <row r="16" spans="2:17" x14ac:dyDescent="0.25">
      <c r="B16" s="80">
        <f t="shared" si="7"/>
        <v>5</v>
      </c>
      <c r="C16" s="28">
        <f>'T7335D Datasheet'!J18</f>
        <v>90</v>
      </c>
      <c r="D16" s="10">
        <f>'T7335D Datasheet'!K18</f>
        <v>0.4261041384609755</v>
      </c>
      <c r="E16" s="10">
        <f>'T7335D Datasheet'!L18</f>
        <v>0.45738958615390241</v>
      </c>
      <c r="F16" s="28">
        <f>'T7335D Datasheet'!M18</f>
        <v>87</v>
      </c>
      <c r="G16" s="28">
        <f t="shared" si="1"/>
        <v>87</v>
      </c>
      <c r="H16" s="81">
        <f t="shared" si="2"/>
        <v>13</v>
      </c>
      <c r="J16">
        <v>-7</v>
      </c>
      <c r="K16" s="80">
        <f t="shared" si="8"/>
        <v>844.10000000000014</v>
      </c>
      <c r="L16" s="80">
        <f t="shared" si="4"/>
        <v>844</v>
      </c>
      <c r="M16" s="87" t="str">
        <f t="shared" si="5"/>
        <v>OK</v>
      </c>
      <c r="N16" s="90">
        <f t="shared" si="6"/>
        <v>-9.3896713615023719E-3</v>
      </c>
      <c r="Q16" s="81"/>
    </row>
    <row r="17" spans="2:17" x14ac:dyDescent="0.25">
      <c r="B17" s="80">
        <f t="shared" si="7"/>
        <v>10</v>
      </c>
      <c r="C17" s="28">
        <f>'T7335D Datasheet'!J19</f>
        <v>100</v>
      </c>
      <c r="D17" s="10">
        <f>'T7335D Datasheet'!K19</f>
        <v>0.32273152478952294</v>
      </c>
      <c r="E17" s="10">
        <f>'T7335D Datasheet'!L19</f>
        <v>0.46772684752104771</v>
      </c>
      <c r="F17" s="28">
        <f>'T7335D Datasheet'!M19</f>
        <v>66</v>
      </c>
      <c r="G17" s="28">
        <f t="shared" si="1"/>
        <v>66</v>
      </c>
      <c r="H17" s="81">
        <f t="shared" si="2"/>
        <v>21</v>
      </c>
      <c r="J17">
        <v>-6</v>
      </c>
      <c r="K17" s="80">
        <f t="shared" si="8"/>
        <v>835.80000000000018</v>
      </c>
      <c r="L17" s="80">
        <f t="shared" si="4"/>
        <v>836</v>
      </c>
      <c r="M17" s="87" t="str">
        <f t="shared" si="5"/>
        <v>OK</v>
      </c>
      <c r="N17" s="90">
        <f t="shared" si="6"/>
        <v>-9.4786729857819774E-3</v>
      </c>
      <c r="Q17" s="81"/>
    </row>
    <row r="18" spans="2:17" x14ac:dyDescent="0.25">
      <c r="B18" s="80">
        <f t="shared" si="7"/>
        <v>10</v>
      </c>
      <c r="C18" s="28">
        <f>'T7335D Datasheet'!J20</f>
        <v>110</v>
      </c>
      <c r="D18" s="10">
        <f>'T7335D Datasheet'!K20</f>
        <v>0.24647050434947948</v>
      </c>
      <c r="E18" s="10">
        <f>'T7335D Datasheet'!L20</f>
        <v>0.47535294956505203</v>
      </c>
      <c r="F18" s="28">
        <f>'T7335D Datasheet'!M20</f>
        <v>50</v>
      </c>
      <c r="G18" s="28">
        <f t="shared" si="1"/>
        <v>50</v>
      </c>
      <c r="H18" s="81">
        <f t="shared" si="2"/>
        <v>16</v>
      </c>
      <c r="J18">
        <v>-5</v>
      </c>
      <c r="K18" s="80">
        <f t="shared" si="8"/>
        <v>827.50000000000023</v>
      </c>
      <c r="L18" s="80">
        <f t="shared" si="4"/>
        <v>828</v>
      </c>
      <c r="M18" s="87" t="str">
        <f t="shared" si="5"/>
        <v>OK</v>
      </c>
      <c r="N18" s="90">
        <f t="shared" si="6"/>
        <v>-9.5693779904306719E-3</v>
      </c>
      <c r="Q18" s="81"/>
    </row>
    <row r="19" spans="2:17" x14ac:dyDescent="0.25">
      <c r="B19" s="80">
        <f t="shared" si="7"/>
        <v>10</v>
      </c>
      <c r="C19" s="28">
        <f>'T7335D Datasheet'!J21</f>
        <v>120</v>
      </c>
      <c r="D19" s="10">
        <f>'T7335D Datasheet'!K21</f>
        <v>0.18999518999518999</v>
      </c>
      <c r="E19" s="10">
        <f>'T7335D Datasheet'!L21</f>
        <v>0.48100048100048104</v>
      </c>
      <c r="F19" s="28">
        <f>'T7335D Datasheet'!M21</f>
        <v>39</v>
      </c>
      <c r="G19" s="28">
        <f t="shared" si="1"/>
        <v>39</v>
      </c>
      <c r="H19" s="81">
        <f t="shared" si="2"/>
        <v>11</v>
      </c>
      <c r="J19">
        <v>-4</v>
      </c>
      <c r="K19" s="80">
        <f t="shared" si="8"/>
        <v>819.20000000000027</v>
      </c>
      <c r="L19" s="80">
        <f t="shared" si="4"/>
        <v>819</v>
      </c>
      <c r="M19" s="87" t="str">
        <f t="shared" si="5"/>
        <v>OK</v>
      </c>
      <c r="N19" s="90">
        <f t="shared" si="6"/>
        <v>-1.0869565217391353E-2</v>
      </c>
      <c r="Q19" s="81"/>
    </row>
    <row r="20" spans="2:17" x14ac:dyDescent="0.25">
      <c r="B20" s="80">
        <f t="shared" si="7"/>
        <v>5</v>
      </c>
      <c r="C20" s="28">
        <f>'T7335D Datasheet'!J22</f>
        <v>125</v>
      </c>
      <c r="D20" s="10">
        <f>'T7335D Datasheet'!K22</f>
        <v>0.16740122168097116</v>
      </c>
      <c r="E20" s="10">
        <f>'T7335D Datasheet'!L22</f>
        <v>0.48325987783190294</v>
      </c>
      <c r="F20" s="28">
        <f>'T7335D Datasheet'!M22</f>
        <v>34</v>
      </c>
      <c r="G20" s="28">
        <f t="shared" si="1"/>
        <v>34</v>
      </c>
      <c r="H20" s="81">
        <f t="shared" si="2"/>
        <v>5</v>
      </c>
      <c r="J20">
        <v>-3</v>
      </c>
      <c r="K20" s="80">
        <f t="shared" si="8"/>
        <v>810.90000000000032</v>
      </c>
      <c r="L20" s="80">
        <f t="shared" si="4"/>
        <v>811</v>
      </c>
      <c r="M20" s="87" t="str">
        <f t="shared" si="5"/>
        <v>OK</v>
      </c>
      <c r="N20" s="90">
        <f t="shared" si="6"/>
        <v>-9.7680097680097333E-3</v>
      </c>
      <c r="Q20" s="81"/>
    </row>
    <row r="21" spans="2:17" x14ac:dyDescent="0.25">
      <c r="J21">
        <v>-2</v>
      </c>
      <c r="K21" s="80">
        <f t="shared" si="8"/>
        <v>802.60000000000036</v>
      </c>
      <c r="L21" s="80">
        <f t="shared" si="4"/>
        <v>803</v>
      </c>
      <c r="M21" s="87" t="str">
        <f t="shared" si="5"/>
        <v>OK</v>
      </c>
      <c r="N21" s="90">
        <f t="shared" si="6"/>
        <v>-9.8643649815043366E-3</v>
      </c>
    </row>
    <row r="22" spans="2:17" x14ac:dyDescent="0.25">
      <c r="J22" s="85">
        <v>-1</v>
      </c>
      <c r="K22" s="86">
        <f t="shared" si="8"/>
        <v>794.30000000000041</v>
      </c>
      <c r="L22" s="80">
        <f t="shared" si="4"/>
        <v>794</v>
      </c>
      <c r="M22" s="87" t="str">
        <f t="shared" si="5"/>
        <v>OK</v>
      </c>
      <c r="N22" s="90">
        <f t="shared" si="6"/>
        <v>-1.1207970112079746E-2</v>
      </c>
    </row>
    <row r="23" spans="2:17" x14ac:dyDescent="0.25">
      <c r="J23" s="112">
        <f>C5</f>
        <v>0</v>
      </c>
      <c r="K23" s="112">
        <f>G5</f>
        <v>786</v>
      </c>
      <c r="L23" s="112">
        <f t="shared" si="4"/>
        <v>786</v>
      </c>
      <c r="M23" s="114" t="str">
        <f t="shared" si="5"/>
        <v>OK</v>
      </c>
      <c r="N23" s="115">
        <f t="shared" si="6"/>
        <v>-1.0075566750629705E-2</v>
      </c>
    </row>
    <row r="24" spans="2:17" x14ac:dyDescent="0.25">
      <c r="J24">
        <v>1</v>
      </c>
      <c r="K24" s="86">
        <f t="shared" ref="K24:K32" si="9">K23-($H$6/$B$6)</f>
        <v>775.9</v>
      </c>
      <c r="L24" s="80">
        <f t="shared" si="4"/>
        <v>776</v>
      </c>
      <c r="M24" s="87" t="str">
        <f t="shared" si="5"/>
        <v>OK</v>
      </c>
      <c r="N24" s="90">
        <f t="shared" si="6"/>
        <v>-1.2722646310432517E-2</v>
      </c>
    </row>
    <row r="25" spans="2:17" x14ac:dyDescent="0.25">
      <c r="J25">
        <v>2</v>
      </c>
      <c r="K25" s="86">
        <f t="shared" si="9"/>
        <v>765.8</v>
      </c>
      <c r="L25" s="80">
        <f t="shared" si="4"/>
        <v>766</v>
      </c>
      <c r="M25" s="87" t="str">
        <f t="shared" si="5"/>
        <v>OK</v>
      </c>
      <c r="N25" s="90">
        <f t="shared" si="6"/>
        <v>-1.2886597938144284E-2</v>
      </c>
    </row>
    <row r="26" spans="2:17" x14ac:dyDescent="0.25">
      <c r="J26">
        <v>3</v>
      </c>
      <c r="K26" s="86">
        <f t="shared" si="9"/>
        <v>755.69999999999993</v>
      </c>
      <c r="L26" s="80">
        <f t="shared" si="4"/>
        <v>756</v>
      </c>
      <c r="M26" s="87" t="str">
        <f t="shared" si="5"/>
        <v>OK</v>
      </c>
      <c r="N26" s="90">
        <f t="shared" si="6"/>
        <v>-1.3054830287206221E-2</v>
      </c>
    </row>
    <row r="27" spans="2:17" x14ac:dyDescent="0.25">
      <c r="J27">
        <v>4</v>
      </c>
      <c r="K27" s="86">
        <f t="shared" si="9"/>
        <v>745.59999999999991</v>
      </c>
      <c r="L27" s="80">
        <f t="shared" si="4"/>
        <v>746</v>
      </c>
      <c r="M27" s="87" t="str">
        <f t="shared" si="5"/>
        <v>OK</v>
      </c>
      <c r="N27" s="90">
        <f t="shared" si="6"/>
        <v>-1.3227513227513255E-2</v>
      </c>
    </row>
    <row r="28" spans="2:17" x14ac:dyDescent="0.25">
      <c r="J28">
        <v>5</v>
      </c>
      <c r="K28" s="86">
        <f t="shared" si="9"/>
        <v>735.49999999999989</v>
      </c>
      <c r="L28" s="80">
        <f t="shared" si="4"/>
        <v>736</v>
      </c>
      <c r="M28" s="87" t="str">
        <f t="shared" si="5"/>
        <v>OK</v>
      </c>
      <c r="N28" s="90">
        <f t="shared" si="6"/>
        <v>-1.3404825737265424E-2</v>
      </c>
    </row>
    <row r="29" spans="2:17" x14ac:dyDescent="0.25">
      <c r="J29">
        <v>6</v>
      </c>
      <c r="K29" s="86">
        <f t="shared" si="9"/>
        <v>725.39999999999986</v>
      </c>
      <c r="L29" s="80">
        <f t="shared" si="4"/>
        <v>725</v>
      </c>
      <c r="M29" s="87" t="str">
        <f t="shared" si="5"/>
        <v>OK</v>
      </c>
      <c r="N29" s="90">
        <f t="shared" si="6"/>
        <v>-1.4945652173913082E-2</v>
      </c>
    </row>
    <row r="30" spans="2:17" x14ac:dyDescent="0.25">
      <c r="J30">
        <v>7</v>
      </c>
      <c r="K30" s="86">
        <f t="shared" si="9"/>
        <v>715.29999999999984</v>
      </c>
      <c r="L30" s="80">
        <f t="shared" si="4"/>
        <v>715</v>
      </c>
      <c r="M30" s="87" t="str">
        <f t="shared" si="5"/>
        <v>OK</v>
      </c>
      <c r="N30" s="90">
        <f t="shared" si="6"/>
        <v>-1.379310344827589E-2</v>
      </c>
    </row>
    <row r="31" spans="2:17" x14ac:dyDescent="0.25">
      <c r="J31">
        <v>8</v>
      </c>
      <c r="K31" s="86">
        <f t="shared" si="9"/>
        <v>705.19999999999982</v>
      </c>
      <c r="L31" s="80">
        <f t="shared" si="4"/>
        <v>705</v>
      </c>
      <c r="M31" s="87" t="str">
        <f t="shared" si="5"/>
        <v>OK</v>
      </c>
      <c r="N31" s="90">
        <f t="shared" si="6"/>
        <v>-1.3986013986013957E-2</v>
      </c>
    </row>
    <row r="32" spans="2:17" x14ac:dyDescent="0.25">
      <c r="J32">
        <v>9</v>
      </c>
      <c r="K32" s="86">
        <f t="shared" si="9"/>
        <v>695.0999999999998</v>
      </c>
      <c r="L32" s="80">
        <f t="shared" si="4"/>
        <v>695</v>
      </c>
      <c r="M32" s="87" t="str">
        <f t="shared" si="5"/>
        <v>OK</v>
      </c>
      <c r="N32" s="90">
        <f t="shared" si="6"/>
        <v>-1.4184397163120588E-2</v>
      </c>
    </row>
    <row r="33" spans="10:14" x14ac:dyDescent="0.25">
      <c r="J33" s="112">
        <f>C6</f>
        <v>10</v>
      </c>
      <c r="K33" s="112">
        <f>G6</f>
        <v>685</v>
      </c>
      <c r="L33" s="112">
        <f t="shared" si="4"/>
        <v>685</v>
      </c>
      <c r="M33" s="114" t="str">
        <f t="shared" si="5"/>
        <v>OK</v>
      </c>
      <c r="N33" s="115">
        <f t="shared" si="6"/>
        <v>-1.4388489208633115E-2</v>
      </c>
    </row>
    <row r="34" spans="10:14" x14ac:dyDescent="0.25">
      <c r="J34">
        <v>11</v>
      </c>
      <c r="K34" s="86">
        <f t="shared" ref="K34:K42" si="10">K33-($H$7/$B$7)</f>
        <v>673.8</v>
      </c>
      <c r="L34" s="80">
        <f t="shared" si="4"/>
        <v>674</v>
      </c>
      <c r="M34" s="87" t="str">
        <f t="shared" si="5"/>
        <v>OK</v>
      </c>
      <c r="N34" s="90">
        <f t="shared" si="6"/>
        <v>-1.6058394160583966E-2</v>
      </c>
    </row>
    <row r="35" spans="10:14" x14ac:dyDescent="0.25">
      <c r="J35">
        <v>12</v>
      </c>
      <c r="K35" s="86">
        <f t="shared" si="10"/>
        <v>662.59999999999991</v>
      </c>
      <c r="L35" s="80">
        <f t="shared" si="4"/>
        <v>663</v>
      </c>
      <c r="M35" s="87" t="str">
        <f t="shared" si="5"/>
        <v>OK</v>
      </c>
      <c r="N35" s="90">
        <f t="shared" si="6"/>
        <v>-1.6320474777448024E-2</v>
      </c>
    </row>
    <row r="36" spans="10:14" x14ac:dyDescent="0.25">
      <c r="J36">
        <v>13</v>
      </c>
      <c r="K36" s="86">
        <f t="shared" si="10"/>
        <v>651.39999999999986</v>
      </c>
      <c r="L36" s="80">
        <f t="shared" si="4"/>
        <v>651</v>
      </c>
      <c r="M36" s="87" t="str">
        <f t="shared" si="5"/>
        <v>OK</v>
      </c>
      <c r="N36" s="90">
        <f t="shared" si="6"/>
        <v>-1.8099547511312264E-2</v>
      </c>
    </row>
    <row r="37" spans="10:14" x14ac:dyDescent="0.25">
      <c r="J37">
        <v>14</v>
      </c>
      <c r="K37" s="86">
        <f t="shared" si="10"/>
        <v>640.19999999999982</v>
      </c>
      <c r="L37" s="80">
        <f t="shared" si="4"/>
        <v>640</v>
      </c>
      <c r="M37" s="87" t="str">
        <f t="shared" si="5"/>
        <v>OK</v>
      </c>
      <c r="N37" s="90">
        <f t="shared" si="6"/>
        <v>-1.6897081413210446E-2</v>
      </c>
    </row>
    <row r="38" spans="10:14" x14ac:dyDescent="0.25">
      <c r="J38">
        <v>15</v>
      </c>
      <c r="K38" s="86">
        <f t="shared" si="10"/>
        <v>628.99999999999977</v>
      </c>
      <c r="L38" s="80">
        <f t="shared" si="4"/>
        <v>629</v>
      </c>
      <c r="M38" s="87" t="str">
        <f t="shared" si="5"/>
        <v>OK</v>
      </c>
      <c r="N38" s="90">
        <f t="shared" si="6"/>
        <v>-1.7187500000000022E-2</v>
      </c>
    </row>
    <row r="39" spans="10:14" x14ac:dyDescent="0.25">
      <c r="J39">
        <v>16</v>
      </c>
      <c r="K39" s="86">
        <f t="shared" si="10"/>
        <v>617.79999999999973</v>
      </c>
      <c r="L39" s="80">
        <f t="shared" si="4"/>
        <v>618</v>
      </c>
      <c r="M39" s="87" t="str">
        <f t="shared" si="5"/>
        <v>OK</v>
      </c>
      <c r="N39" s="90">
        <f t="shared" si="6"/>
        <v>-1.748807631160576E-2</v>
      </c>
    </row>
    <row r="40" spans="10:14" x14ac:dyDescent="0.25">
      <c r="J40">
        <v>17</v>
      </c>
      <c r="K40" s="86">
        <f t="shared" si="10"/>
        <v>606.59999999999968</v>
      </c>
      <c r="L40" s="80">
        <f t="shared" si="4"/>
        <v>607</v>
      </c>
      <c r="M40" s="87" t="str">
        <f t="shared" si="5"/>
        <v>OK</v>
      </c>
      <c r="N40" s="90">
        <f t="shared" si="6"/>
        <v>-1.7799352750809017E-2</v>
      </c>
    </row>
    <row r="41" spans="10:14" x14ac:dyDescent="0.25">
      <c r="J41">
        <v>18</v>
      </c>
      <c r="K41" s="86">
        <f t="shared" si="10"/>
        <v>595.39999999999964</v>
      </c>
      <c r="L41" s="80">
        <f t="shared" si="4"/>
        <v>595</v>
      </c>
      <c r="M41" s="87" t="str">
        <f t="shared" si="5"/>
        <v>OK</v>
      </c>
      <c r="N41" s="90">
        <f t="shared" si="6"/>
        <v>-1.9769357495881379E-2</v>
      </c>
    </row>
    <row r="42" spans="10:14" x14ac:dyDescent="0.25">
      <c r="J42">
        <v>19</v>
      </c>
      <c r="K42" s="86">
        <f t="shared" si="10"/>
        <v>584.19999999999959</v>
      </c>
      <c r="L42" s="80">
        <f t="shared" si="4"/>
        <v>584</v>
      </c>
      <c r="M42" s="87" t="str">
        <f t="shared" si="5"/>
        <v>OK</v>
      </c>
      <c r="N42" s="90">
        <f t="shared" si="6"/>
        <v>-1.8487394957983239E-2</v>
      </c>
    </row>
    <row r="43" spans="10:14" x14ac:dyDescent="0.25">
      <c r="J43" s="112">
        <f>C7</f>
        <v>20</v>
      </c>
      <c r="K43" s="112">
        <f>G7</f>
        <v>573</v>
      </c>
      <c r="L43" s="112">
        <f t="shared" si="4"/>
        <v>573</v>
      </c>
      <c r="M43" s="114" t="str">
        <f t="shared" si="5"/>
        <v>OK</v>
      </c>
      <c r="N43" s="115">
        <f t="shared" si="6"/>
        <v>-1.8835616438356184E-2</v>
      </c>
    </row>
    <row r="44" spans="10:14" x14ac:dyDescent="0.25">
      <c r="J44">
        <v>21</v>
      </c>
      <c r="K44" s="86">
        <f>K43-($H$8/$B$8)</f>
        <v>561.6</v>
      </c>
      <c r="L44" s="80">
        <f t="shared" si="4"/>
        <v>562</v>
      </c>
      <c r="M44" s="87" t="str">
        <f t="shared" si="5"/>
        <v>OK</v>
      </c>
      <c r="N44" s="90">
        <f t="shared" si="6"/>
        <v>-1.919720767888311E-2</v>
      </c>
    </row>
    <row r="45" spans="10:14" x14ac:dyDescent="0.25">
      <c r="J45">
        <v>22</v>
      </c>
      <c r="K45" s="86">
        <f>K44-($H$8/$B$8)</f>
        <v>550.20000000000005</v>
      </c>
      <c r="L45" s="80">
        <f t="shared" si="4"/>
        <v>550</v>
      </c>
      <c r="M45" s="87" t="str">
        <f t="shared" si="5"/>
        <v>OK</v>
      </c>
      <c r="N45" s="90">
        <f t="shared" si="6"/>
        <v>-2.1352313167259829E-2</v>
      </c>
    </row>
    <row r="46" spans="10:14" x14ac:dyDescent="0.25">
      <c r="J46">
        <v>23</v>
      </c>
      <c r="K46" s="86">
        <f>K45-($H$8/$B$8)</f>
        <v>538.80000000000007</v>
      </c>
      <c r="L46" s="80">
        <f t="shared" si="4"/>
        <v>539</v>
      </c>
      <c r="M46" s="87" t="str">
        <f t="shared" si="5"/>
        <v>OK</v>
      </c>
      <c r="N46" s="90">
        <f t="shared" si="6"/>
        <v>-2.0000000000000018E-2</v>
      </c>
    </row>
    <row r="47" spans="10:14" x14ac:dyDescent="0.25">
      <c r="J47">
        <v>24</v>
      </c>
      <c r="K47" s="86">
        <f>K46-($H$8/$B$8)</f>
        <v>527.40000000000009</v>
      </c>
      <c r="L47" s="80">
        <f t="shared" si="4"/>
        <v>527</v>
      </c>
      <c r="M47" s="87" t="str">
        <f t="shared" si="5"/>
        <v>OK</v>
      </c>
      <c r="N47" s="90">
        <f t="shared" si="6"/>
        <v>-2.2263450834879461E-2</v>
      </c>
    </row>
    <row r="48" spans="10:14" x14ac:dyDescent="0.25">
      <c r="J48" s="112">
        <f>C8</f>
        <v>25</v>
      </c>
      <c r="K48" s="112">
        <f>G8</f>
        <v>516</v>
      </c>
      <c r="L48" s="112">
        <f t="shared" si="4"/>
        <v>516</v>
      </c>
      <c r="M48" s="114" t="str">
        <f t="shared" si="5"/>
        <v>OK</v>
      </c>
      <c r="N48" s="115">
        <f t="shared" si="6"/>
        <v>-2.0872865275142316E-2</v>
      </c>
    </row>
    <row r="49" spans="7:14" x14ac:dyDescent="0.25">
      <c r="J49">
        <v>26</v>
      </c>
      <c r="K49" s="86">
        <f>K48-($H$9/$B$9)</f>
        <v>505</v>
      </c>
      <c r="L49" s="80">
        <f t="shared" si="4"/>
        <v>505</v>
      </c>
      <c r="M49" s="87" t="str">
        <f t="shared" si="5"/>
        <v>OK</v>
      </c>
      <c r="N49" s="90">
        <f t="shared" si="6"/>
        <v>-2.1317829457364379E-2</v>
      </c>
    </row>
    <row r="50" spans="7:14" x14ac:dyDescent="0.25">
      <c r="J50">
        <v>27</v>
      </c>
      <c r="K50" s="86">
        <f>K49-($H$9/$B$9)</f>
        <v>494</v>
      </c>
      <c r="L50" s="80">
        <f t="shared" si="4"/>
        <v>494</v>
      </c>
      <c r="M50" s="87" t="str">
        <f t="shared" si="5"/>
        <v>OK</v>
      </c>
      <c r="N50" s="90">
        <f t="shared" si="6"/>
        <v>-2.1782178217821802E-2</v>
      </c>
    </row>
    <row r="51" spans="7:14" x14ac:dyDescent="0.25">
      <c r="J51">
        <v>28</v>
      </c>
      <c r="K51" s="86">
        <f>K50-($H$9/$B$9)</f>
        <v>483</v>
      </c>
      <c r="L51" s="80">
        <f t="shared" si="4"/>
        <v>483</v>
      </c>
      <c r="M51" s="87" t="str">
        <f t="shared" si="5"/>
        <v>OK</v>
      </c>
      <c r="N51" s="90">
        <f t="shared" si="6"/>
        <v>-2.2267206477732837E-2</v>
      </c>
    </row>
    <row r="52" spans="7:14" x14ac:dyDescent="0.25">
      <c r="J52">
        <v>29</v>
      </c>
      <c r="K52" s="86">
        <f>K51-($H$9/$B$9)</f>
        <v>472</v>
      </c>
      <c r="L52" s="80">
        <f t="shared" si="4"/>
        <v>472</v>
      </c>
      <c r="M52" s="87" t="str">
        <f t="shared" si="5"/>
        <v>OK</v>
      </c>
      <c r="N52" s="90">
        <f t="shared" si="6"/>
        <v>-2.2774327122153215E-2</v>
      </c>
    </row>
    <row r="53" spans="7:14" x14ac:dyDescent="0.25">
      <c r="J53" s="112">
        <f>C9</f>
        <v>30</v>
      </c>
      <c r="K53" s="112">
        <f>G9</f>
        <v>461</v>
      </c>
      <c r="L53" s="112">
        <f t="shared" si="4"/>
        <v>461</v>
      </c>
      <c r="M53" s="114" t="str">
        <f t="shared" si="5"/>
        <v>OK</v>
      </c>
      <c r="N53" s="115">
        <f t="shared" si="6"/>
        <v>-2.3305084745762761E-2</v>
      </c>
    </row>
    <row r="54" spans="7:14" x14ac:dyDescent="0.25">
      <c r="J54">
        <v>31</v>
      </c>
      <c r="K54" s="86">
        <f t="shared" ref="K54:K62" si="11">K53-($H$10/$B$10)</f>
        <v>450.8</v>
      </c>
      <c r="L54" s="80">
        <f t="shared" si="4"/>
        <v>451</v>
      </c>
      <c r="M54" s="87" t="str">
        <f t="shared" si="5"/>
        <v>OK</v>
      </c>
      <c r="N54" s="90">
        <f t="shared" si="6"/>
        <v>-2.1691973969631184E-2</v>
      </c>
    </row>
    <row r="55" spans="7:14" x14ac:dyDescent="0.25">
      <c r="J55">
        <v>32</v>
      </c>
      <c r="K55" s="86">
        <f t="shared" si="11"/>
        <v>440.6</v>
      </c>
      <c r="L55" s="80">
        <f t="shared" si="4"/>
        <v>441</v>
      </c>
      <c r="M55" s="87" t="str">
        <f t="shared" si="5"/>
        <v>OK</v>
      </c>
      <c r="N55" s="90">
        <f t="shared" si="6"/>
        <v>-2.2172949002217335E-2</v>
      </c>
    </row>
    <row r="56" spans="7:14" x14ac:dyDescent="0.25">
      <c r="J56">
        <v>33</v>
      </c>
      <c r="K56" s="86">
        <f t="shared" si="11"/>
        <v>430.40000000000003</v>
      </c>
      <c r="L56" s="80">
        <f t="shared" si="4"/>
        <v>430</v>
      </c>
      <c r="M56" s="87" t="str">
        <f t="shared" si="5"/>
        <v>OK</v>
      </c>
      <c r="N56" s="90">
        <f t="shared" si="6"/>
        <v>-2.4943310657596363E-2</v>
      </c>
    </row>
    <row r="57" spans="7:14" x14ac:dyDescent="0.25">
      <c r="J57">
        <v>34</v>
      </c>
      <c r="K57" s="86">
        <f t="shared" si="11"/>
        <v>420.20000000000005</v>
      </c>
      <c r="L57" s="80">
        <f t="shared" si="4"/>
        <v>420</v>
      </c>
      <c r="M57" s="87" t="str">
        <f t="shared" si="5"/>
        <v>OK</v>
      </c>
      <c r="N57" s="90">
        <f t="shared" si="6"/>
        <v>-2.3255813953488413E-2</v>
      </c>
    </row>
    <row r="58" spans="7:14" x14ac:dyDescent="0.25">
      <c r="J58">
        <v>35</v>
      </c>
      <c r="K58" s="86">
        <f t="shared" si="11"/>
        <v>410.00000000000006</v>
      </c>
      <c r="L58" s="80">
        <f t="shared" si="4"/>
        <v>410</v>
      </c>
      <c r="M58" s="87" t="str">
        <f t="shared" si="5"/>
        <v>OK</v>
      </c>
      <c r="N58" s="90">
        <f t="shared" si="6"/>
        <v>-2.3809523809523836E-2</v>
      </c>
    </row>
    <row r="59" spans="7:14" x14ac:dyDescent="0.25">
      <c r="J59">
        <v>36</v>
      </c>
      <c r="K59" s="86">
        <f t="shared" si="11"/>
        <v>399.80000000000007</v>
      </c>
      <c r="L59" s="80">
        <f t="shared" si="4"/>
        <v>400</v>
      </c>
      <c r="M59" s="87" t="str">
        <f t="shared" si="5"/>
        <v>OK</v>
      </c>
      <c r="N59" s="90">
        <f t="shared" si="6"/>
        <v>-2.4390243902439046E-2</v>
      </c>
    </row>
    <row r="60" spans="7:14" x14ac:dyDescent="0.25">
      <c r="J60">
        <v>37</v>
      </c>
      <c r="K60" s="86">
        <f t="shared" si="11"/>
        <v>389.60000000000008</v>
      </c>
      <c r="L60" s="80">
        <f t="shared" si="4"/>
        <v>390</v>
      </c>
      <c r="M60" s="87" t="str">
        <f t="shared" si="5"/>
        <v>OK</v>
      </c>
      <c r="N60" s="90">
        <f t="shared" si="6"/>
        <v>-2.5000000000000022E-2</v>
      </c>
    </row>
    <row r="61" spans="7:14" x14ac:dyDescent="0.25">
      <c r="G61" s="35" t="s">
        <v>62</v>
      </c>
      <c r="H61" s="35"/>
      <c r="I61" s="35"/>
      <c r="J61" s="133">
        <v>38</v>
      </c>
      <c r="K61" s="132">
        <f t="shared" si="11"/>
        <v>379.40000000000009</v>
      </c>
      <c r="L61" s="132">
        <f t="shared" si="4"/>
        <v>379</v>
      </c>
      <c r="M61" s="134" t="str">
        <f t="shared" si="5"/>
        <v>OK</v>
      </c>
      <c r="N61" s="135">
        <f t="shared" si="6"/>
        <v>-2.8205128205128216E-2</v>
      </c>
    </row>
    <row r="62" spans="7:14" x14ac:dyDescent="0.25">
      <c r="J62">
        <v>39</v>
      </c>
      <c r="K62" s="86">
        <f t="shared" si="11"/>
        <v>369.2000000000001</v>
      </c>
      <c r="L62" s="80">
        <f t="shared" si="4"/>
        <v>369</v>
      </c>
      <c r="M62" s="87" t="str">
        <f t="shared" si="5"/>
        <v>OK</v>
      </c>
      <c r="N62" s="90">
        <f t="shared" si="6"/>
        <v>-2.6385224274406371E-2</v>
      </c>
    </row>
    <row r="63" spans="7:14" x14ac:dyDescent="0.25">
      <c r="J63" s="84">
        <f>C10</f>
        <v>40</v>
      </c>
      <c r="K63" s="84">
        <f>G10</f>
        <v>359</v>
      </c>
      <c r="L63" s="84">
        <f t="shared" si="4"/>
        <v>359</v>
      </c>
      <c r="M63" s="88" t="str">
        <f t="shared" si="5"/>
        <v>OK</v>
      </c>
      <c r="N63" s="91">
        <f t="shared" si="6"/>
        <v>-2.7100271002710064E-2</v>
      </c>
    </row>
    <row r="64" spans="7:14" x14ac:dyDescent="0.25">
      <c r="J64" s="92">
        <v>41</v>
      </c>
      <c r="K64" s="93">
        <f t="shared" ref="K64:K72" si="12">K63-($H$11/$B$11)</f>
        <v>350.5</v>
      </c>
      <c r="L64" s="93">
        <f t="shared" si="4"/>
        <v>351</v>
      </c>
      <c r="M64" s="94" t="str">
        <f t="shared" si="5"/>
        <v>OK</v>
      </c>
      <c r="N64" s="95">
        <f t="shared" si="6"/>
        <v>-2.2284122562674091E-2</v>
      </c>
    </row>
    <row r="65" spans="7:24" ht="15" customHeight="1" x14ac:dyDescent="0.25">
      <c r="J65" s="116">
        <v>42</v>
      </c>
      <c r="K65" s="117">
        <f t="shared" si="12"/>
        <v>342</v>
      </c>
      <c r="L65" s="117">
        <f t="shared" si="4"/>
        <v>342</v>
      </c>
      <c r="M65" s="118" t="str">
        <f t="shared" si="5"/>
        <v>OK</v>
      </c>
      <c r="N65" s="119">
        <f t="shared" si="6"/>
        <v>-2.5641025641025661E-2</v>
      </c>
    </row>
    <row r="66" spans="7:24" x14ac:dyDescent="0.25">
      <c r="J66" s="101">
        <v>43</v>
      </c>
      <c r="K66" s="102">
        <f t="shared" si="12"/>
        <v>333.5</v>
      </c>
      <c r="L66" s="102">
        <f t="shared" si="4"/>
        <v>334</v>
      </c>
      <c r="M66" s="103" t="str">
        <f t="shared" si="5"/>
        <v>OK</v>
      </c>
      <c r="N66" s="104">
        <f t="shared" si="6"/>
        <v>-2.3391812865497075E-2</v>
      </c>
      <c r="P66" s="169" t="s">
        <v>32</v>
      </c>
    </row>
    <row r="67" spans="7:24" x14ac:dyDescent="0.25">
      <c r="J67" s="101">
        <v>44</v>
      </c>
      <c r="K67" s="102">
        <f t="shared" si="12"/>
        <v>325</v>
      </c>
      <c r="L67" s="102">
        <f t="shared" si="4"/>
        <v>325</v>
      </c>
      <c r="M67" s="103" t="str">
        <f t="shared" si="5"/>
        <v>OK</v>
      </c>
      <c r="N67" s="104">
        <f t="shared" si="6"/>
        <v>-2.6946107784431184E-2</v>
      </c>
      <c r="P67" s="169"/>
    </row>
    <row r="68" spans="7:24" x14ac:dyDescent="0.25">
      <c r="J68" s="101">
        <v>45</v>
      </c>
      <c r="K68" s="102">
        <f t="shared" si="12"/>
        <v>316.5</v>
      </c>
      <c r="L68" s="102">
        <f t="shared" si="4"/>
        <v>317</v>
      </c>
      <c r="M68" s="103" t="str">
        <f t="shared" si="5"/>
        <v>OK</v>
      </c>
      <c r="N68" s="104">
        <f t="shared" si="6"/>
        <v>-2.4615384615384595E-2</v>
      </c>
      <c r="P68" s="169"/>
    </row>
    <row r="69" spans="7:24" x14ac:dyDescent="0.25">
      <c r="J69" s="101">
        <v>46</v>
      </c>
      <c r="K69" s="102">
        <f t="shared" si="12"/>
        <v>308</v>
      </c>
      <c r="L69" s="102">
        <f t="shared" ref="L69:L132" si="13">ROUND(K69,0)</f>
        <v>308</v>
      </c>
      <c r="M69" s="103" t="str">
        <f t="shared" ref="M69:M132" si="14">IF(L69&lt;L68,"OK","Too small")</f>
        <v>OK</v>
      </c>
      <c r="N69" s="104">
        <f t="shared" ref="N69:N132" si="15">(L69/L68)-1</f>
        <v>-2.8391167192429068E-2</v>
      </c>
      <c r="P69" s="169"/>
    </row>
    <row r="70" spans="7:24" x14ac:dyDescent="0.25">
      <c r="J70" s="101">
        <v>47</v>
      </c>
      <c r="K70" s="102">
        <f t="shared" si="12"/>
        <v>299.5</v>
      </c>
      <c r="L70" s="102">
        <f t="shared" si="13"/>
        <v>300</v>
      </c>
      <c r="M70" s="103" t="str">
        <f t="shared" si="14"/>
        <v>OK</v>
      </c>
      <c r="N70" s="104">
        <f t="shared" si="15"/>
        <v>-2.5974025974025983E-2</v>
      </c>
      <c r="P70" s="169"/>
    </row>
    <row r="71" spans="7:24" x14ac:dyDescent="0.25">
      <c r="J71" s="101">
        <v>48</v>
      </c>
      <c r="K71" s="102">
        <f t="shared" si="12"/>
        <v>291</v>
      </c>
      <c r="L71" s="102">
        <f t="shared" si="13"/>
        <v>291</v>
      </c>
      <c r="M71" s="103" t="str">
        <f t="shared" si="14"/>
        <v>OK</v>
      </c>
      <c r="N71" s="104">
        <f t="shared" si="15"/>
        <v>-3.0000000000000027E-2</v>
      </c>
      <c r="P71" s="169"/>
    </row>
    <row r="72" spans="7:24" x14ac:dyDescent="0.25">
      <c r="J72" s="101">
        <v>49</v>
      </c>
      <c r="K72" s="102">
        <f t="shared" si="12"/>
        <v>282.5</v>
      </c>
      <c r="L72" s="102">
        <f t="shared" si="13"/>
        <v>283</v>
      </c>
      <c r="M72" s="103" t="str">
        <f t="shared" si="14"/>
        <v>OK</v>
      </c>
      <c r="N72" s="104">
        <f t="shared" si="15"/>
        <v>-2.7491408934707917E-2</v>
      </c>
      <c r="P72" s="169"/>
      <c r="V72" t="s">
        <v>13</v>
      </c>
      <c r="W72" t="s">
        <v>20</v>
      </c>
    </row>
    <row r="73" spans="7:24" x14ac:dyDescent="0.25">
      <c r="J73" s="105">
        <f>C11</f>
        <v>50</v>
      </c>
      <c r="K73" s="105">
        <f>G11</f>
        <v>274</v>
      </c>
      <c r="L73" s="105">
        <f t="shared" si="13"/>
        <v>274</v>
      </c>
      <c r="M73" s="106" t="str">
        <f t="shared" si="14"/>
        <v>OK</v>
      </c>
      <c r="N73" s="107">
        <f t="shared" si="15"/>
        <v>-3.180212014134276E-2</v>
      </c>
      <c r="P73" s="169"/>
      <c r="V73">
        <v>257</v>
      </c>
      <c r="W73">
        <v>47</v>
      </c>
      <c r="X73" t="s">
        <v>1</v>
      </c>
    </row>
    <row r="74" spans="7:24" x14ac:dyDescent="0.25">
      <c r="J74" s="101">
        <v>51</v>
      </c>
      <c r="K74" s="102">
        <f t="shared" ref="K74:K82" si="16">K73-($H$12/$B$12)</f>
        <v>267.3</v>
      </c>
      <c r="L74" s="102">
        <f t="shared" si="13"/>
        <v>267</v>
      </c>
      <c r="M74" s="103" t="str">
        <f t="shared" si="14"/>
        <v>OK</v>
      </c>
      <c r="N74" s="104">
        <f t="shared" si="15"/>
        <v>-2.5547445255474477E-2</v>
      </c>
      <c r="P74" s="169"/>
    </row>
    <row r="75" spans="7:24" x14ac:dyDescent="0.25">
      <c r="J75" s="101">
        <v>52</v>
      </c>
      <c r="K75" s="102">
        <f t="shared" si="16"/>
        <v>260.60000000000002</v>
      </c>
      <c r="L75" s="102">
        <f t="shared" si="13"/>
        <v>261</v>
      </c>
      <c r="M75" s="103" t="str">
        <f t="shared" si="14"/>
        <v>OK</v>
      </c>
      <c r="N75" s="104">
        <f t="shared" si="15"/>
        <v>-2.2471910112359605E-2</v>
      </c>
      <c r="P75" s="169"/>
      <c r="V75">
        <v>300</v>
      </c>
      <c r="W75">
        <v>42</v>
      </c>
      <c r="X75" t="s">
        <v>1</v>
      </c>
    </row>
    <row r="76" spans="7:24" x14ac:dyDescent="0.25">
      <c r="J76" s="101">
        <v>53</v>
      </c>
      <c r="K76" s="102">
        <f t="shared" si="16"/>
        <v>253.90000000000003</v>
      </c>
      <c r="L76" s="102">
        <f t="shared" si="13"/>
        <v>254</v>
      </c>
      <c r="M76" s="103" t="str">
        <f t="shared" si="14"/>
        <v>OK</v>
      </c>
      <c r="N76" s="104">
        <f t="shared" si="15"/>
        <v>-2.6819923371647514E-2</v>
      </c>
      <c r="P76" s="169"/>
    </row>
    <row r="77" spans="7:24" x14ac:dyDescent="0.25">
      <c r="J77" s="101">
        <v>54</v>
      </c>
      <c r="K77" s="102">
        <f t="shared" si="16"/>
        <v>247.20000000000005</v>
      </c>
      <c r="L77" s="102">
        <f t="shared" si="13"/>
        <v>247</v>
      </c>
      <c r="M77" s="103" t="str">
        <f t="shared" si="14"/>
        <v>OK</v>
      </c>
      <c r="N77" s="104">
        <f t="shared" si="15"/>
        <v>-2.7559055118110187E-2</v>
      </c>
      <c r="P77" s="169"/>
    </row>
    <row r="78" spans="7:24" x14ac:dyDescent="0.25">
      <c r="G78" s="136" t="s">
        <v>61</v>
      </c>
      <c r="H78" s="136"/>
      <c r="I78" s="136"/>
      <c r="J78" s="137">
        <v>55</v>
      </c>
      <c r="K78" s="138">
        <f t="shared" si="16"/>
        <v>240.50000000000006</v>
      </c>
      <c r="L78" s="138">
        <f t="shared" si="13"/>
        <v>241</v>
      </c>
      <c r="M78" s="139" t="str">
        <f t="shared" si="14"/>
        <v>OK</v>
      </c>
      <c r="N78" s="140">
        <f t="shared" si="15"/>
        <v>-2.4291497975708509E-2</v>
      </c>
      <c r="P78" s="169"/>
    </row>
    <row r="79" spans="7:24" x14ac:dyDescent="0.25">
      <c r="J79" s="101">
        <v>56</v>
      </c>
      <c r="K79" s="102">
        <f t="shared" si="16"/>
        <v>233.80000000000007</v>
      </c>
      <c r="L79" s="102">
        <f t="shared" si="13"/>
        <v>234</v>
      </c>
      <c r="M79" s="103" t="str">
        <f t="shared" si="14"/>
        <v>OK</v>
      </c>
      <c r="N79" s="104">
        <f t="shared" si="15"/>
        <v>-2.9045643153526979E-2</v>
      </c>
      <c r="P79" s="169"/>
    </row>
    <row r="80" spans="7:24" x14ac:dyDescent="0.25">
      <c r="J80" s="101">
        <v>57</v>
      </c>
      <c r="K80" s="102">
        <f t="shared" si="16"/>
        <v>227.10000000000008</v>
      </c>
      <c r="L80" s="102">
        <f t="shared" si="13"/>
        <v>227</v>
      </c>
      <c r="M80" s="103" t="str">
        <f t="shared" si="14"/>
        <v>OK</v>
      </c>
      <c r="N80" s="104">
        <f t="shared" si="15"/>
        <v>-2.9914529914529919E-2</v>
      </c>
      <c r="P80" s="169"/>
    </row>
    <row r="81" spans="10:16" x14ac:dyDescent="0.25">
      <c r="J81" s="101">
        <v>58</v>
      </c>
      <c r="K81" s="102">
        <f t="shared" si="16"/>
        <v>220.40000000000009</v>
      </c>
      <c r="L81" s="102">
        <f t="shared" si="13"/>
        <v>220</v>
      </c>
      <c r="M81" s="103" t="str">
        <f t="shared" si="14"/>
        <v>OK</v>
      </c>
      <c r="N81" s="104">
        <f t="shared" si="15"/>
        <v>-3.0837004405286361E-2</v>
      </c>
      <c r="P81" s="169"/>
    </row>
    <row r="82" spans="10:16" x14ac:dyDescent="0.25">
      <c r="J82" s="92">
        <v>59</v>
      </c>
      <c r="K82" s="93">
        <f t="shared" si="16"/>
        <v>213.7000000000001</v>
      </c>
      <c r="L82" s="93">
        <f t="shared" si="13"/>
        <v>214</v>
      </c>
      <c r="M82" s="94" t="str">
        <f t="shared" si="14"/>
        <v>OK</v>
      </c>
      <c r="N82" s="95">
        <f t="shared" si="15"/>
        <v>-2.7272727272727226E-2</v>
      </c>
    </row>
    <row r="83" spans="10:16" x14ac:dyDescent="0.25">
      <c r="J83" s="84">
        <f>C12</f>
        <v>60</v>
      </c>
      <c r="K83" s="84">
        <f>G12</f>
        <v>207</v>
      </c>
      <c r="L83" s="84">
        <f t="shared" si="13"/>
        <v>207</v>
      </c>
      <c r="M83" s="88" t="str">
        <f t="shared" si="14"/>
        <v>OK</v>
      </c>
      <c r="N83" s="91">
        <f t="shared" si="15"/>
        <v>-3.2710280373831724E-2</v>
      </c>
    </row>
    <row r="84" spans="10:16" x14ac:dyDescent="0.25">
      <c r="J84" s="92">
        <v>61</v>
      </c>
      <c r="K84" s="93">
        <f>K83-($H$13/$B$13)</f>
        <v>201.8</v>
      </c>
      <c r="L84" s="93">
        <f t="shared" si="13"/>
        <v>202</v>
      </c>
      <c r="M84" s="94" t="str">
        <f t="shared" si="14"/>
        <v>OK</v>
      </c>
      <c r="N84" s="95">
        <f t="shared" si="15"/>
        <v>-2.4154589371980673E-2</v>
      </c>
    </row>
    <row r="85" spans="10:16" x14ac:dyDescent="0.25">
      <c r="J85" s="92">
        <v>62</v>
      </c>
      <c r="K85" s="93">
        <f t="shared" ref="K85:K92" si="17">K84-($H$13/$B$13)</f>
        <v>196.60000000000002</v>
      </c>
      <c r="L85" s="93">
        <f t="shared" si="13"/>
        <v>197</v>
      </c>
      <c r="M85" s="94" t="str">
        <f t="shared" si="14"/>
        <v>OK</v>
      </c>
      <c r="N85" s="95">
        <f t="shared" si="15"/>
        <v>-2.4752475247524774E-2</v>
      </c>
    </row>
    <row r="86" spans="10:16" x14ac:dyDescent="0.25">
      <c r="J86" s="92">
        <v>63</v>
      </c>
      <c r="K86" s="93">
        <f t="shared" si="17"/>
        <v>191.40000000000003</v>
      </c>
      <c r="L86" s="93">
        <f t="shared" si="13"/>
        <v>191</v>
      </c>
      <c r="M86" s="94" t="str">
        <f t="shared" si="14"/>
        <v>OK</v>
      </c>
      <c r="N86" s="95">
        <f t="shared" si="15"/>
        <v>-3.0456852791878153E-2</v>
      </c>
    </row>
    <row r="87" spans="10:16" x14ac:dyDescent="0.25">
      <c r="J87" s="92">
        <v>64</v>
      </c>
      <c r="K87" s="93">
        <f t="shared" si="17"/>
        <v>186.20000000000005</v>
      </c>
      <c r="L87" s="93">
        <f t="shared" si="13"/>
        <v>186</v>
      </c>
      <c r="M87" s="94" t="str">
        <f t="shared" si="14"/>
        <v>OK</v>
      </c>
      <c r="N87" s="95">
        <f t="shared" si="15"/>
        <v>-2.6178010471204161E-2</v>
      </c>
    </row>
    <row r="88" spans="10:16" x14ac:dyDescent="0.25">
      <c r="J88" s="92">
        <v>65</v>
      </c>
      <c r="K88" s="93">
        <f t="shared" si="17"/>
        <v>181.00000000000006</v>
      </c>
      <c r="L88" s="93">
        <f t="shared" si="13"/>
        <v>181</v>
      </c>
      <c r="M88" s="94" t="str">
        <f t="shared" si="14"/>
        <v>OK</v>
      </c>
      <c r="N88" s="95">
        <f t="shared" si="15"/>
        <v>-2.6881720430107503E-2</v>
      </c>
    </row>
    <row r="89" spans="10:16" x14ac:dyDescent="0.25">
      <c r="J89" s="92">
        <v>66</v>
      </c>
      <c r="K89" s="93">
        <f t="shared" si="17"/>
        <v>175.80000000000007</v>
      </c>
      <c r="L89" s="93">
        <f t="shared" si="13"/>
        <v>176</v>
      </c>
      <c r="M89" s="94" t="str">
        <f t="shared" si="14"/>
        <v>OK</v>
      </c>
      <c r="N89" s="95">
        <f t="shared" si="15"/>
        <v>-2.7624309392265234E-2</v>
      </c>
    </row>
    <row r="90" spans="10:16" x14ac:dyDescent="0.25">
      <c r="J90" s="92">
        <v>67</v>
      </c>
      <c r="K90" s="93">
        <f t="shared" si="17"/>
        <v>170.60000000000008</v>
      </c>
      <c r="L90" s="93">
        <f t="shared" si="13"/>
        <v>171</v>
      </c>
      <c r="M90" s="94" t="str">
        <f t="shared" si="14"/>
        <v>OK</v>
      </c>
      <c r="N90" s="95">
        <f t="shared" si="15"/>
        <v>-2.8409090909090939E-2</v>
      </c>
    </row>
    <row r="91" spans="10:16" x14ac:dyDescent="0.25">
      <c r="J91" s="92">
        <v>68</v>
      </c>
      <c r="K91" s="93">
        <f t="shared" si="17"/>
        <v>165.40000000000009</v>
      </c>
      <c r="L91" s="93">
        <f t="shared" si="13"/>
        <v>165</v>
      </c>
      <c r="M91" s="94" t="str">
        <f t="shared" si="14"/>
        <v>OK</v>
      </c>
      <c r="N91" s="95">
        <f t="shared" si="15"/>
        <v>-3.5087719298245612E-2</v>
      </c>
    </row>
    <row r="92" spans="10:16" x14ac:dyDescent="0.25">
      <c r="J92" s="92">
        <v>69</v>
      </c>
      <c r="K92" s="93">
        <f t="shared" si="17"/>
        <v>160.2000000000001</v>
      </c>
      <c r="L92" s="93">
        <f t="shared" si="13"/>
        <v>160</v>
      </c>
      <c r="M92" s="94" t="str">
        <f t="shared" si="14"/>
        <v>OK</v>
      </c>
      <c r="N92" s="95">
        <f t="shared" si="15"/>
        <v>-3.0303030303030276E-2</v>
      </c>
    </row>
    <row r="93" spans="10:16" x14ac:dyDescent="0.25">
      <c r="J93" s="84">
        <f>C13</f>
        <v>70</v>
      </c>
      <c r="K93" s="84">
        <f>G13</f>
        <v>155</v>
      </c>
      <c r="L93" s="84">
        <f t="shared" si="13"/>
        <v>155</v>
      </c>
      <c r="M93" s="88" t="str">
        <f t="shared" si="14"/>
        <v>OK</v>
      </c>
      <c r="N93" s="91">
        <f t="shared" si="15"/>
        <v>-3.125E-2</v>
      </c>
    </row>
    <row r="94" spans="10:16" x14ac:dyDescent="0.25">
      <c r="J94">
        <v>71</v>
      </c>
      <c r="K94" s="86">
        <f t="shared" ref="K94:K102" si="18">K93-($H$14/$B$14)</f>
        <v>151.1</v>
      </c>
      <c r="L94" s="80">
        <f t="shared" si="13"/>
        <v>151</v>
      </c>
      <c r="M94" s="87" t="str">
        <f t="shared" si="14"/>
        <v>OK</v>
      </c>
      <c r="N94" s="90">
        <f t="shared" si="15"/>
        <v>-2.5806451612903181E-2</v>
      </c>
    </row>
    <row r="95" spans="10:16" x14ac:dyDescent="0.25">
      <c r="J95">
        <v>72</v>
      </c>
      <c r="K95" s="86">
        <f t="shared" si="18"/>
        <v>147.19999999999999</v>
      </c>
      <c r="L95" s="80">
        <f t="shared" si="13"/>
        <v>147</v>
      </c>
      <c r="M95" s="87" t="str">
        <f t="shared" si="14"/>
        <v>OK</v>
      </c>
      <c r="N95" s="90">
        <f t="shared" si="15"/>
        <v>-2.6490066225165587E-2</v>
      </c>
    </row>
    <row r="96" spans="10:16" x14ac:dyDescent="0.25">
      <c r="J96">
        <v>73</v>
      </c>
      <c r="K96" s="86">
        <f t="shared" si="18"/>
        <v>143.29999999999998</v>
      </c>
      <c r="L96" s="80">
        <f t="shared" si="13"/>
        <v>143</v>
      </c>
      <c r="M96" s="87" t="str">
        <f t="shared" si="14"/>
        <v>OK</v>
      </c>
      <c r="N96" s="90">
        <f t="shared" si="15"/>
        <v>-2.7210884353741527E-2</v>
      </c>
    </row>
    <row r="97" spans="7:14" x14ac:dyDescent="0.25">
      <c r="J97">
        <v>74</v>
      </c>
      <c r="K97" s="86">
        <f t="shared" si="18"/>
        <v>139.39999999999998</v>
      </c>
      <c r="L97" s="80">
        <f t="shared" si="13"/>
        <v>139</v>
      </c>
      <c r="M97" s="87" t="str">
        <f t="shared" si="14"/>
        <v>OK</v>
      </c>
      <c r="N97" s="90">
        <f t="shared" si="15"/>
        <v>-2.7972027972028024E-2</v>
      </c>
    </row>
    <row r="98" spans="7:14" x14ac:dyDescent="0.25">
      <c r="J98">
        <v>75</v>
      </c>
      <c r="K98" s="86">
        <f t="shared" si="18"/>
        <v>135.49999999999997</v>
      </c>
      <c r="L98" s="80">
        <f t="shared" si="13"/>
        <v>136</v>
      </c>
      <c r="M98" s="87" t="str">
        <f t="shared" si="14"/>
        <v>OK</v>
      </c>
      <c r="N98" s="90">
        <f t="shared" si="15"/>
        <v>-2.1582733812949617E-2</v>
      </c>
    </row>
    <row r="99" spans="7:14" x14ac:dyDescent="0.25">
      <c r="J99">
        <v>76</v>
      </c>
      <c r="K99" s="86">
        <f t="shared" si="18"/>
        <v>131.59999999999997</v>
      </c>
      <c r="L99" s="80">
        <f t="shared" si="13"/>
        <v>132</v>
      </c>
      <c r="M99" s="87" t="str">
        <f t="shared" si="14"/>
        <v>OK</v>
      </c>
      <c r="N99" s="90">
        <f t="shared" si="15"/>
        <v>-2.9411764705882359E-2</v>
      </c>
    </row>
    <row r="100" spans="7:14" x14ac:dyDescent="0.25">
      <c r="J100">
        <v>77</v>
      </c>
      <c r="K100" s="86">
        <f t="shared" si="18"/>
        <v>127.69999999999996</v>
      </c>
      <c r="L100" s="80">
        <f t="shared" si="13"/>
        <v>128</v>
      </c>
      <c r="M100" s="87" t="str">
        <f t="shared" si="14"/>
        <v>OK</v>
      </c>
      <c r="N100" s="90">
        <f t="shared" si="15"/>
        <v>-3.0303030303030276E-2</v>
      </c>
    </row>
    <row r="101" spans="7:14" x14ac:dyDescent="0.25">
      <c r="J101">
        <v>78</v>
      </c>
      <c r="K101" s="86">
        <f t="shared" si="18"/>
        <v>123.79999999999995</v>
      </c>
      <c r="L101" s="80">
        <f t="shared" si="13"/>
        <v>124</v>
      </c>
      <c r="M101" s="87" t="str">
        <f t="shared" si="14"/>
        <v>OK</v>
      </c>
      <c r="N101" s="90">
        <f t="shared" si="15"/>
        <v>-3.125E-2</v>
      </c>
    </row>
    <row r="102" spans="7:14" x14ac:dyDescent="0.25">
      <c r="J102">
        <v>79</v>
      </c>
      <c r="K102" s="86">
        <f t="shared" si="18"/>
        <v>119.89999999999995</v>
      </c>
      <c r="L102" s="80">
        <f t="shared" si="13"/>
        <v>120</v>
      </c>
      <c r="M102" s="87" t="str">
        <f t="shared" si="14"/>
        <v>OK</v>
      </c>
      <c r="N102" s="90">
        <f t="shared" si="15"/>
        <v>-3.2258064516129004E-2</v>
      </c>
    </row>
    <row r="103" spans="7:14" x14ac:dyDescent="0.25">
      <c r="J103" s="112">
        <f>C14</f>
        <v>80</v>
      </c>
      <c r="K103" s="112">
        <f>G14</f>
        <v>116</v>
      </c>
      <c r="L103" s="112">
        <f t="shared" si="13"/>
        <v>116</v>
      </c>
      <c r="M103" s="114" t="str">
        <f t="shared" si="14"/>
        <v>OK</v>
      </c>
      <c r="N103" s="115">
        <f t="shared" si="15"/>
        <v>-3.3333333333333326E-2</v>
      </c>
    </row>
    <row r="104" spans="7:14" x14ac:dyDescent="0.25">
      <c r="J104">
        <v>81</v>
      </c>
      <c r="K104" s="86">
        <f>K103-($H$15/$B$15)</f>
        <v>112.8</v>
      </c>
      <c r="L104" s="80">
        <f t="shared" si="13"/>
        <v>113</v>
      </c>
      <c r="M104" s="87" t="str">
        <f t="shared" si="14"/>
        <v>OK</v>
      </c>
      <c r="N104" s="90">
        <f t="shared" si="15"/>
        <v>-2.5862068965517238E-2</v>
      </c>
    </row>
    <row r="105" spans="7:14" x14ac:dyDescent="0.25">
      <c r="J105">
        <v>82</v>
      </c>
      <c r="K105" s="86">
        <f>K104-($H$15/$B$15)</f>
        <v>109.6</v>
      </c>
      <c r="L105" s="80">
        <f t="shared" si="13"/>
        <v>110</v>
      </c>
      <c r="M105" s="87" t="str">
        <f t="shared" si="14"/>
        <v>OK</v>
      </c>
      <c r="N105" s="90">
        <f t="shared" si="15"/>
        <v>-2.6548672566371723E-2</v>
      </c>
    </row>
    <row r="106" spans="7:14" x14ac:dyDescent="0.25">
      <c r="J106">
        <v>83</v>
      </c>
      <c r="K106" s="86">
        <f>K105-($H$15/$B$15)</f>
        <v>106.39999999999999</v>
      </c>
      <c r="L106" s="80">
        <f t="shared" si="13"/>
        <v>106</v>
      </c>
      <c r="M106" s="87" t="str">
        <f t="shared" si="14"/>
        <v>OK</v>
      </c>
      <c r="N106" s="90">
        <f t="shared" si="15"/>
        <v>-3.6363636363636376E-2</v>
      </c>
    </row>
    <row r="107" spans="7:14" x14ac:dyDescent="0.25">
      <c r="J107">
        <v>84</v>
      </c>
      <c r="K107" s="86">
        <f>K106-($H$15/$B$15)</f>
        <v>103.19999999999999</v>
      </c>
      <c r="L107" s="80">
        <f t="shared" si="13"/>
        <v>103</v>
      </c>
      <c r="M107" s="87" t="str">
        <f t="shared" si="14"/>
        <v>OK</v>
      </c>
      <c r="N107" s="90">
        <f t="shared" si="15"/>
        <v>-2.8301886792452824E-2</v>
      </c>
    </row>
    <row r="108" spans="7:14" x14ac:dyDescent="0.25">
      <c r="G108" s="82"/>
      <c r="H108" s="82"/>
      <c r="J108" s="112">
        <f>C15</f>
        <v>85</v>
      </c>
      <c r="K108" s="112">
        <f>G15</f>
        <v>100</v>
      </c>
      <c r="L108" s="112">
        <f t="shared" si="13"/>
        <v>100</v>
      </c>
      <c r="M108" s="114" t="str">
        <f t="shared" si="14"/>
        <v>OK</v>
      </c>
      <c r="N108" s="115">
        <f t="shared" si="15"/>
        <v>-2.9126213592232997E-2</v>
      </c>
    </row>
    <row r="109" spans="7:14" x14ac:dyDescent="0.25">
      <c r="G109" s="82"/>
      <c r="H109" s="82"/>
      <c r="J109">
        <v>86</v>
      </c>
      <c r="K109" s="86">
        <f>K108-($H$16/$B$16)</f>
        <v>97.4</v>
      </c>
      <c r="L109" s="80">
        <f t="shared" si="13"/>
        <v>97</v>
      </c>
      <c r="M109" s="87" t="str">
        <f t="shared" si="14"/>
        <v>OK</v>
      </c>
      <c r="N109" s="90">
        <f t="shared" si="15"/>
        <v>-3.0000000000000027E-2</v>
      </c>
    </row>
    <row r="110" spans="7:14" x14ac:dyDescent="0.25">
      <c r="G110" s="82"/>
      <c r="H110" s="82"/>
      <c r="J110">
        <v>87</v>
      </c>
      <c r="K110" s="86">
        <f>K109-($H$16/$B$16)</f>
        <v>94.800000000000011</v>
      </c>
      <c r="L110" s="80">
        <f t="shared" si="13"/>
        <v>95</v>
      </c>
      <c r="M110" s="87" t="str">
        <f t="shared" si="14"/>
        <v>OK</v>
      </c>
      <c r="N110" s="90">
        <f t="shared" si="15"/>
        <v>-2.0618556701030966E-2</v>
      </c>
    </row>
    <row r="111" spans="7:14" x14ac:dyDescent="0.25">
      <c r="G111" s="82"/>
      <c r="H111" s="82"/>
      <c r="J111">
        <v>88</v>
      </c>
      <c r="K111" s="86">
        <f>K110-($H$16/$B$16)</f>
        <v>92.200000000000017</v>
      </c>
      <c r="L111" s="80">
        <f t="shared" si="13"/>
        <v>92</v>
      </c>
      <c r="M111" s="87" t="str">
        <f t="shared" si="14"/>
        <v>OK</v>
      </c>
      <c r="N111" s="90">
        <f t="shared" si="15"/>
        <v>-3.157894736842104E-2</v>
      </c>
    </row>
    <row r="112" spans="7:14" x14ac:dyDescent="0.25">
      <c r="G112" s="82"/>
      <c r="H112" s="82"/>
      <c r="J112">
        <v>89</v>
      </c>
      <c r="K112" s="86">
        <f>K111-($H$16/$B$16)</f>
        <v>89.600000000000023</v>
      </c>
      <c r="L112" s="80">
        <f t="shared" si="13"/>
        <v>90</v>
      </c>
      <c r="M112" s="87" t="str">
        <f t="shared" si="14"/>
        <v>OK</v>
      </c>
      <c r="N112" s="90">
        <f t="shared" si="15"/>
        <v>-2.1739130434782594E-2</v>
      </c>
    </row>
    <row r="113" spans="7:14" x14ac:dyDescent="0.25">
      <c r="G113" s="82"/>
      <c r="H113" s="82"/>
      <c r="J113" s="112">
        <f>C16</f>
        <v>90</v>
      </c>
      <c r="K113" s="112">
        <f>G16</f>
        <v>87</v>
      </c>
      <c r="L113" s="112">
        <f t="shared" si="13"/>
        <v>87</v>
      </c>
      <c r="M113" s="114" t="str">
        <f t="shared" si="14"/>
        <v>OK</v>
      </c>
      <c r="N113" s="115">
        <f t="shared" si="15"/>
        <v>-3.3333333333333326E-2</v>
      </c>
    </row>
    <row r="114" spans="7:14" x14ac:dyDescent="0.25">
      <c r="G114" s="82"/>
      <c r="H114" s="82"/>
      <c r="J114">
        <v>91</v>
      </c>
      <c r="K114" s="86">
        <f t="shared" ref="K114:K122" si="19">K113-($H$17/$B$17)</f>
        <v>84.9</v>
      </c>
      <c r="L114" s="80">
        <f t="shared" si="13"/>
        <v>85</v>
      </c>
      <c r="M114" s="87" t="str">
        <f t="shared" si="14"/>
        <v>OK</v>
      </c>
      <c r="N114" s="90">
        <f t="shared" si="15"/>
        <v>-2.2988505747126409E-2</v>
      </c>
    </row>
    <row r="115" spans="7:14" x14ac:dyDescent="0.25">
      <c r="G115" s="82"/>
      <c r="H115" s="82"/>
      <c r="J115">
        <v>92</v>
      </c>
      <c r="K115" s="86">
        <f t="shared" si="19"/>
        <v>82.800000000000011</v>
      </c>
      <c r="L115" s="80">
        <f t="shared" si="13"/>
        <v>83</v>
      </c>
      <c r="M115" s="87" t="str">
        <f t="shared" si="14"/>
        <v>OK</v>
      </c>
      <c r="N115" s="90">
        <f t="shared" si="15"/>
        <v>-2.352941176470591E-2</v>
      </c>
    </row>
    <row r="116" spans="7:14" x14ac:dyDescent="0.25">
      <c r="G116" s="82"/>
      <c r="H116" s="82"/>
      <c r="J116">
        <v>93</v>
      </c>
      <c r="K116" s="86">
        <f t="shared" si="19"/>
        <v>80.700000000000017</v>
      </c>
      <c r="L116" s="80">
        <f t="shared" si="13"/>
        <v>81</v>
      </c>
      <c r="M116" s="87" t="str">
        <f t="shared" si="14"/>
        <v>OK</v>
      </c>
      <c r="N116" s="90">
        <f t="shared" si="15"/>
        <v>-2.4096385542168641E-2</v>
      </c>
    </row>
    <row r="117" spans="7:14" x14ac:dyDescent="0.25">
      <c r="G117" s="82"/>
      <c r="H117" s="82"/>
      <c r="J117">
        <v>94</v>
      </c>
      <c r="K117" s="86">
        <f t="shared" si="19"/>
        <v>78.600000000000023</v>
      </c>
      <c r="L117" s="80">
        <f t="shared" si="13"/>
        <v>79</v>
      </c>
      <c r="M117" s="87" t="str">
        <f t="shared" si="14"/>
        <v>OK</v>
      </c>
      <c r="N117" s="90">
        <f t="shared" si="15"/>
        <v>-2.4691358024691357E-2</v>
      </c>
    </row>
    <row r="118" spans="7:14" x14ac:dyDescent="0.25">
      <c r="G118" s="82"/>
      <c r="H118" s="82"/>
      <c r="J118">
        <v>95</v>
      </c>
      <c r="K118" s="86">
        <f t="shared" si="19"/>
        <v>76.500000000000028</v>
      </c>
      <c r="L118" s="80">
        <f t="shared" si="13"/>
        <v>77</v>
      </c>
      <c r="M118" s="87" t="str">
        <f t="shared" si="14"/>
        <v>OK</v>
      </c>
      <c r="N118" s="90">
        <f t="shared" si="15"/>
        <v>-2.5316455696202556E-2</v>
      </c>
    </row>
    <row r="119" spans="7:14" x14ac:dyDescent="0.25">
      <c r="G119" s="82"/>
      <c r="H119" s="82"/>
      <c r="J119">
        <v>96</v>
      </c>
      <c r="K119" s="86">
        <f t="shared" si="19"/>
        <v>74.400000000000034</v>
      </c>
      <c r="L119" s="80">
        <f t="shared" si="13"/>
        <v>74</v>
      </c>
      <c r="M119" s="87" t="str">
        <f t="shared" si="14"/>
        <v>OK</v>
      </c>
      <c r="N119" s="90">
        <f t="shared" si="15"/>
        <v>-3.8961038961038974E-2</v>
      </c>
    </row>
    <row r="120" spans="7:14" x14ac:dyDescent="0.25">
      <c r="G120" s="82"/>
      <c r="H120" s="82"/>
      <c r="J120">
        <v>97</v>
      </c>
      <c r="K120" s="86">
        <f t="shared" si="19"/>
        <v>72.30000000000004</v>
      </c>
      <c r="L120" s="80">
        <f t="shared" si="13"/>
        <v>72</v>
      </c>
      <c r="M120" s="87" t="str">
        <f t="shared" si="14"/>
        <v>OK</v>
      </c>
      <c r="N120" s="90">
        <f t="shared" si="15"/>
        <v>-2.7027027027026973E-2</v>
      </c>
    </row>
    <row r="121" spans="7:14" x14ac:dyDescent="0.25">
      <c r="G121" s="82"/>
      <c r="H121" s="82"/>
      <c r="J121">
        <v>98</v>
      </c>
      <c r="K121" s="86">
        <f t="shared" si="19"/>
        <v>70.200000000000045</v>
      </c>
      <c r="L121" s="80">
        <f t="shared" si="13"/>
        <v>70</v>
      </c>
      <c r="M121" s="87" t="str">
        <f t="shared" si="14"/>
        <v>OK</v>
      </c>
      <c r="N121" s="90">
        <f t="shared" si="15"/>
        <v>-2.777777777777779E-2</v>
      </c>
    </row>
    <row r="122" spans="7:14" x14ac:dyDescent="0.25">
      <c r="G122" s="82"/>
      <c r="H122" s="82"/>
      <c r="J122">
        <v>99</v>
      </c>
      <c r="K122" s="86">
        <f t="shared" si="19"/>
        <v>68.100000000000051</v>
      </c>
      <c r="L122" s="80">
        <f t="shared" si="13"/>
        <v>68</v>
      </c>
      <c r="M122" s="87" t="str">
        <f t="shared" si="14"/>
        <v>OK</v>
      </c>
      <c r="N122" s="90">
        <f t="shared" si="15"/>
        <v>-2.8571428571428581E-2</v>
      </c>
    </row>
    <row r="123" spans="7:14" x14ac:dyDescent="0.25">
      <c r="G123" s="82"/>
      <c r="H123" s="82"/>
      <c r="J123" s="112">
        <f>C17</f>
        <v>100</v>
      </c>
      <c r="K123" s="112">
        <f>G17</f>
        <v>66</v>
      </c>
      <c r="L123" s="112">
        <f t="shared" si="13"/>
        <v>66</v>
      </c>
      <c r="M123" s="114" t="str">
        <f t="shared" si="14"/>
        <v>OK</v>
      </c>
      <c r="N123" s="115">
        <f t="shared" si="15"/>
        <v>-2.9411764705882359E-2</v>
      </c>
    </row>
    <row r="124" spans="7:14" x14ac:dyDescent="0.25">
      <c r="G124" s="82"/>
      <c r="H124" s="82"/>
      <c r="J124">
        <v>101</v>
      </c>
      <c r="K124" s="86">
        <f t="shared" ref="K124:K132" si="20">K123-($H$18/$B$18)</f>
        <v>64.400000000000006</v>
      </c>
      <c r="L124" s="80">
        <f t="shared" si="13"/>
        <v>64</v>
      </c>
      <c r="M124" s="87" t="str">
        <f t="shared" si="14"/>
        <v>OK</v>
      </c>
      <c r="N124" s="90">
        <f t="shared" si="15"/>
        <v>-3.0303030303030276E-2</v>
      </c>
    </row>
    <row r="125" spans="7:14" x14ac:dyDescent="0.25">
      <c r="G125" s="82"/>
      <c r="H125" s="82"/>
      <c r="J125">
        <v>102</v>
      </c>
      <c r="K125" s="86">
        <f t="shared" si="20"/>
        <v>62.800000000000004</v>
      </c>
      <c r="L125" s="80">
        <f t="shared" si="13"/>
        <v>63</v>
      </c>
      <c r="M125" s="87" t="str">
        <f t="shared" si="14"/>
        <v>OK</v>
      </c>
      <c r="N125" s="90">
        <f t="shared" si="15"/>
        <v>-1.5625E-2</v>
      </c>
    </row>
    <row r="126" spans="7:14" x14ac:dyDescent="0.25">
      <c r="G126" s="82"/>
      <c r="H126" s="82"/>
      <c r="J126">
        <v>103</v>
      </c>
      <c r="K126" s="86">
        <f t="shared" si="20"/>
        <v>61.2</v>
      </c>
      <c r="L126" s="80">
        <f t="shared" si="13"/>
        <v>61</v>
      </c>
      <c r="M126" s="87" t="str">
        <f t="shared" si="14"/>
        <v>OK</v>
      </c>
      <c r="N126" s="90">
        <f t="shared" si="15"/>
        <v>-3.1746031746031744E-2</v>
      </c>
    </row>
    <row r="127" spans="7:14" x14ac:dyDescent="0.25">
      <c r="G127" s="82"/>
      <c r="H127" s="82"/>
      <c r="J127">
        <v>104</v>
      </c>
      <c r="K127" s="86">
        <f t="shared" si="20"/>
        <v>59.6</v>
      </c>
      <c r="L127" s="80">
        <f t="shared" si="13"/>
        <v>60</v>
      </c>
      <c r="M127" s="87" t="str">
        <f t="shared" si="14"/>
        <v>OK</v>
      </c>
      <c r="N127" s="90">
        <f t="shared" si="15"/>
        <v>-1.6393442622950838E-2</v>
      </c>
    </row>
    <row r="128" spans="7:14" x14ac:dyDescent="0.25">
      <c r="G128" s="82"/>
      <c r="H128" s="82"/>
      <c r="J128">
        <v>105</v>
      </c>
      <c r="K128" s="86">
        <f t="shared" si="20"/>
        <v>58</v>
      </c>
      <c r="L128" s="80">
        <f t="shared" si="13"/>
        <v>58</v>
      </c>
      <c r="M128" s="87" t="str">
        <f t="shared" si="14"/>
        <v>OK</v>
      </c>
      <c r="N128" s="90">
        <f t="shared" si="15"/>
        <v>-3.3333333333333326E-2</v>
      </c>
    </row>
    <row r="129" spans="7:14" x14ac:dyDescent="0.25">
      <c r="G129" s="82"/>
      <c r="H129" s="82"/>
      <c r="J129">
        <v>106</v>
      </c>
      <c r="K129" s="86">
        <f t="shared" si="20"/>
        <v>56.4</v>
      </c>
      <c r="L129" s="80">
        <f t="shared" si="13"/>
        <v>56</v>
      </c>
      <c r="M129" s="87" t="str">
        <f t="shared" si="14"/>
        <v>OK</v>
      </c>
      <c r="N129" s="90">
        <f t="shared" si="15"/>
        <v>-3.4482758620689613E-2</v>
      </c>
    </row>
    <row r="130" spans="7:14" x14ac:dyDescent="0.25">
      <c r="G130" s="82"/>
      <c r="H130" s="82"/>
      <c r="J130">
        <v>107</v>
      </c>
      <c r="K130" s="86">
        <f t="shared" si="20"/>
        <v>54.8</v>
      </c>
      <c r="L130" s="80">
        <f t="shared" si="13"/>
        <v>55</v>
      </c>
      <c r="M130" s="87" t="str">
        <f t="shared" si="14"/>
        <v>OK</v>
      </c>
      <c r="N130" s="90">
        <f t="shared" si="15"/>
        <v>-1.7857142857142905E-2</v>
      </c>
    </row>
    <row r="131" spans="7:14" x14ac:dyDescent="0.25">
      <c r="G131" s="82"/>
      <c r="H131" s="82"/>
      <c r="J131">
        <v>108</v>
      </c>
      <c r="K131" s="86">
        <f t="shared" si="20"/>
        <v>53.199999999999996</v>
      </c>
      <c r="L131" s="80">
        <f t="shared" si="13"/>
        <v>53</v>
      </c>
      <c r="M131" s="87" t="str">
        <f t="shared" si="14"/>
        <v>OK</v>
      </c>
      <c r="N131" s="90">
        <f t="shared" si="15"/>
        <v>-3.6363636363636376E-2</v>
      </c>
    </row>
    <row r="132" spans="7:14" x14ac:dyDescent="0.25">
      <c r="G132" s="82"/>
      <c r="H132" s="82"/>
      <c r="J132">
        <v>109</v>
      </c>
      <c r="K132" s="86">
        <f t="shared" si="20"/>
        <v>51.599999999999994</v>
      </c>
      <c r="L132" s="80">
        <f t="shared" si="13"/>
        <v>52</v>
      </c>
      <c r="M132" s="87" t="str">
        <f t="shared" si="14"/>
        <v>OK</v>
      </c>
      <c r="N132" s="90">
        <f t="shared" si="15"/>
        <v>-1.8867924528301883E-2</v>
      </c>
    </row>
    <row r="133" spans="7:14" x14ac:dyDescent="0.25">
      <c r="G133" s="82"/>
      <c r="H133" s="82"/>
      <c r="J133" s="112">
        <f>C18</f>
        <v>110</v>
      </c>
      <c r="K133" s="112">
        <f>G18</f>
        <v>50</v>
      </c>
      <c r="L133" s="112">
        <f t="shared" ref="L133:L148" si="21">ROUND(K133,0)</f>
        <v>50</v>
      </c>
      <c r="M133" s="114" t="str">
        <f t="shared" ref="M133:M148" si="22">IF(L133&lt;L132,"OK","Too small")</f>
        <v>OK</v>
      </c>
      <c r="N133" s="115">
        <f t="shared" ref="N133:N148" si="23">(L133/L132)-1</f>
        <v>-3.8461538461538436E-2</v>
      </c>
    </row>
    <row r="134" spans="7:14" x14ac:dyDescent="0.25">
      <c r="G134" s="82"/>
      <c r="H134" s="82"/>
      <c r="J134">
        <v>111</v>
      </c>
      <c r="K134" s="86">
        <f t="shared" ref="K134:K142" si="24">K133-($H$19/$B$19)</f>
        <v>48.9</v>
      </c>
      <c r="L134" s="80">
        <f t="shared" si="21"/>
        <v>49</v>
      </c>
      <c r="M134" s="87" t="str">
        <f t="shared" si="22"/>
        <v>OK</v>
      </c>
      <c r="N134" s="90">
        <f t="shared" si="23"/>
        <v>-2.0000000000000018E-2</v>
      </c>
    </row>
    <row r="135" spans="7:14" x14ac:dyDescent="0.25">
      <c r="G135" s="82"/>
      <c r="H135" s="82"/>
      <c r="J135">
        <v>112</v>
      </c>
      <c r="K135" s="86">
        <f t="shared" si="24"/>
        <v>47.8</v>
      </c>
      <c r="L135" s="80">
        <f t="shared" si="21"/>
        <v>48</v>
      </c>
      <c r="M135" s="87" t="str">
        <f t="shared" si="22"/>
        <v>OK</v>
      </c>
      <c r="N135" s="90">
        <f t="shared" si="23"/>
        <v>-2.0408163265306145E-2</v>
      </c>
    </row>
    <row r="136" spans="7:14" x14ac:dyDescent="0.25">
      <c r="G136" s="82"/>
      <c r="H136" s="82"/>
      <c r="J136">
        <v>113</v>
      </c>
      <c r="K136" s="86">
        <f t="shared" si="24"/>
        <v>46.699999999999996</v>
      </c>
      <c r="L136" s="80">
        <f t="shared" si="21"/>
        <v>47</v>
      </c>
      <c r="M136" s="87" t="str">
        <f t="shared" si="22"/>
        <v>OK</v>
      </c>
      <c r="N136" s="90">
        <f t="shared" si="23"/>
        <v>-2.083333333333337E-2</v>
      </c>
    </row>
    <row r="137" spans="7:14" x14ac:dyDescent="0.25">
      <c r="G137" s="82"/>
      <c r="H137" s="82"/>
      <c r="J137">
        <v>114</v>
      </c>
      <c r="K137" s="86">
        <f t="shared" si="24"/>
        <v>45.599999999999994</v>
      </c>
      <c r="L137" s="80">
        <f t="shared" si="21"/>
        <v>46</v>
      </c>
      <c r="M137" s="87" t="str">
        <f t="shared" si="22"/>
        <v>OK</v>
      </c>
      <c r="N137" s="90">
        <f t="shared" si="23"/>
        <v>-2.1276595744680882E-2</v>
      </c>
    </row>
    <row r="138" spans="7:14" x14ac:dyDescent="0.25">
      <c r="G138" s="82"/>
      <c r="H138" s="82"/>
      <c r="J138">
        <v>115</v>
      </c>
      <c r="K138" s="86">
        <f t="shared" si="24"/>
        <v>44.499999999999993</v>
      </c>
      <c r="L138" s="80">
        <f t="shared" si="21"/>
        <v>45</v>
      </c>
      <c r="M138" s="87" t="str">
        <f t="shared" si="22"/>
        <v>OK</v>
      </c>
      <c r="N138" s="90">
        <f t="shared" si="23"/>
        <v>-2.1739130434782594E-2</v>
      </c>
    </row>
    <row r="139" spans="7:14" x14ac:dyDescent="0.25">
      <c r="G139" s="82"/>
      <c r="H139" s="82"/>
      <c r="J139">
        <v>116</v>
      </c>
      <c r="K139" s="86">
        <f t="shared" si="24"/>
        <v>43.399999999999991</v>
      </c>
      <c r="L139" s="80">
        <f t="shared" si="21"/>
        <v>43</v>
      </c>
      <c r="M139" s="87" t="str">
        <f t="shared" si="22"/>
        <v>OK</v>
      </c>
      <c r="N139" s="90">
        <f t="shared" si="23"/>
        <v>-4.4444444444444398E-2</v>
      </c>
    </row>
    <row r="140" spans="7:14" x14ac:dyDescent="0.25">
      <c r="G140" s="82"/>
      <c r="H140" s="82"/>
      <c r="J140">
        <v>117</v>
      </c>
      <c r="K140" s="86">
        <f t="shared" si="24"/>
        <v>42.29999999999999</v>
      </c>
      <c r="L140" s="80">
        <f t="shared" si="21"/>
        <v>42</v>
      </c>
      <c r="M140" s="87" t="str">
        <f t="shared" si="22"/>
        <v>OK</v>
      </c>
      <c r="N140" s="90">
        <f t="shared" si="23"/>
        <v>-2.3255813953488413E-2</v>
      </c>
    </row>
    <row r="141" spans="7:14" x14ac:dyDescent="0.25">
      <c r="G141" s="82"/>
      <c r="H141" s="82"/>
      <c r="J141">
        <v>118</v>
      </c>
      <c r="K141" s="86">
        <f t="shared" si="24"/>
        <v>41.199999999999989</v>
      </c>
      <c r="L141" s="80">
        <f t="shared" si="21"/>
        <v>41</v>
      </c>
      <c r="M141" s="87" t="str">
        <f t="shared" si="22"/>
        <v>OK</v>
      </c>
      <c r="N141" s="90">
        <f t="shared" si="23"/>
        <v>-2.3809523809523836E-2</v>
      </c>
    </row>
    <row r="142" spans="7:14" x14ac:dyDescent="0.25">
      <c r="G142" s="82"/>
      <c r="H142" s="82"/>
      <c r="J142">
        <v>119</v>
      </c>
      <c r="K142" s="86">
        <f t="shared" si="24"/>
        <v>40.099999999999987</v>
      </c>
      <c r="L142" s="80">
        <f t="shared" si="21"/>
        <v>40</v>
      </c>
      <c r="M142" s="87" t="str">
        <f t="shared" si="22"/>
        <v>OK</v>
      </c>
      <c r="N142" s="90">
        <f t="shared" si="23"/>
        <v>-2.4390243902439046E-2</v>
      </c>
    </row>
    <row r="143" spans="7:14" x14ac:dyDescent="0.25">
      <c r="G143" s="82"/>
      <c r="H143" s="82"/>
      <c r="J143" s="112">
        <f>C19</f>
        <v>120</v>
      </c>
      <c r="K143" s="112">
        <f>G19</f>
        <v>39</v>
      </c>
      <c r="L143" s="112">
        <f t="shared" si="21"/>
        <v>39</v>
      </c>
      <c r="M143" s="114" t="str">
        <f t="shared" si="22"/>
        <v>OK</v>
      </c>
      <c r="N143" s="115">
        <f t="shared" si="23"/>
        <v>-2.5000000000000022E-2</v>
      </c>
    </row>
    <row r="144" spans="7:14" x14ac:dyDescent="0.25">
      <c r="G144" s="82"/>
      <c r="H144" s="82"/>
      <c r="J144">
        <v>121</v>
      </c>
      <c r="K144" s="86">
        <f>K143-($H$20/$B$20)</f>
        <v>38</v>
      </c>
      <c r="L144" s="80">
        <f t="shared" si="21"/>
        <v>38</v>
      </c>
      <c r="M144" s="87" t="str">
        <f t="shared" si="22"/>
        <v>OK</v>
      </c>
      <c r="N144" s="90">
        <f t="shared" si="23"/>
        <v>-2.5641025641025661E-2</v>
      </c>
    </row>
    <row r="145" spans="7:14" x14ac:dyDescent="0.25">
      <c r="G145" s="82"/>
      <c r="H145" s="82"/>
      <c r="J145">
        <v>122</v>
      </c>
      <c r="K145" s="86">
        <f>K144-($H$20/$B$20)</f>
        <v>37</v>
      </c>
      <c r="L145" s="80">
        <f t="shared" si="21"/>
        <v>37</v>
      </c>
      <c r="M145" s="87" t="str">
        <f t="shared" si="22"/>
        <v>OK</v>
      </c>
      <c r="N145" s="90">
        <f t="shared" si="23"/>
        <v>-2.6315789473684181E-2</v>
      </c>
    </row>
    <row r="146" spans="7:14" x14ac:dyDescent="0.25">
      <c r="G146" s="82"/>
      <c r="H146" s="82"/>
      <c r="J146">
        <v>123</v>
      </c>
      <c r="K146" s="86">
        <f>K145-($H$20/$B$20)</f>
        <v>36</v>
      </c>
      <c r="L146" s="80">
        <f t="shared" si="21"/>
        <v>36</v>
      </c>
      <c r="M146" s="87" t="str">
        <f t="shared" si="22"/>
        <v>OK</v>
      </c>
      <c r="N146" s="90">
        <f t="shared" si="23"/>
        <v>-2.7027027027026973E-2</v>
      </c>
    </row>
    <row r="147" spans="7:14" x14ac:dyDescent="0.25">
      <c r="J147">
        <v>124</v>
      </c>
      <c r="K147" s="86">
        <f>K146-($H$20/$B$20)</f>
        <v>35</v>
      </c>
      <c r="L147" s="80">
        <f t="shared" si="21"/>
        <v>35</v>
      </c>
      <c r="M147" s="87" t="str">
        <f t="shared" si="22"/>
        <v>OK</v>
      </c>
      <c r="N147" s="90">
        <f t="shared" si="23"/>
        <v>-2.777777777777779E-2</v>
      </c>
    </row>
    <row r="148" spans="7:14" x14ac:dyDescent="0.25">
      <c r="J148" s="112">
        <f>C20</f>
        <v>125</v>
      </c>
      <c r="K148" s="112">
        <f>G20</f>
        <v>34</v>
      </c>
      <c r="L148" s="112">
        <f t="shared" si="21"/>
        <v>34</v>
      </c>
      <c r="M148" s="114" t="str">
        <f t="shared" si="22"/>
        <v>OK</v>
      </c>
      <c r="N148" s="115">
        <f t="shared" si="23"/>
        <v>-2.8571428571428581E-2</v>
      </c>
    </row>
  </sheetData>
  <mergeCells count="1">
    <mergeCell ref="P66:P8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E8E29-DE63-4AB1-8CC2-0B276237272C}">
  <dimension ref="B2:L30"/>
  <sheetViews>
    <sheetView workbookViewId="0">
      <selection activeCell="J2" sqref="J2:L6"/>
    </sheetView>
  </sheetViews>
  <sheetFormatPr defaultColWidth="9.140625" defaultRowHeight="15" x14ac:dyDescent="0.25"/>
  <cols>
    <col min="1" max="1" width="2.140625" customWidth="1"/>
    <col min="6" max="6" width="11.42578125" bestFit="1" customWidth="1"/>
    <col min="7" max="7" width="7.7109375" customWidth="1"/>
    <col min="8" max="8" width="12.5703125" bestFit="1" customWidth="1"/>
  </cols>
  <sheetData>
    <row r="2" spans="2:12" x14ac:dyDescent="0.25">
      <c r="B2" s="30"/>
      <c r="C2" s="30" t="s">
        <v>41</v>
      </c>
      <c r="D2" s="30"/>
      <c r="E2" s="30"/>
      <c r="F2" s="30"/>
      <c r="G2" s="30"/>
      <c r="H2" s="30"/>
      <c r="I2" s="30"/>
      <c r="J2" s="30" t="s">
        <v>36</v>
      </c>
      <c r="K2" s="30"/>
      <c r="L2" s="30"/>
    </row>
    <row r="3" spans="2:12" x14ac:dyDescent="0.25">
      <c r="B3" s="38" t="s">
        <v>40</v>
      </c>
      <c r="C3" s="38" t="s">
        <v>33</v>
      </c>
      <c r="D3" s="38" t="s">
        <v>34</v>
      </c>
      <c r="E3" s="38" t="s">
        <v>35</v>
      </c>
      <c r="F3" s="38" t="s">
        <v>42</v>
      </c>
      <c r="G3" s="38" t="s">
        <v>43</v>
      </c>
      <c r="H3" s="30" t="s">
        <v>3</v>
      </c>
      <c r="I3" s="30"/>
      <c r="J3" s="30" t="s">
        <v>39</v>
      </c>
      <c r="K3" s="30" t="s">
        <v>40</v>
      </c>
      <c r="L3" s="30" t="s">
        <v>38</v>
      </c>
    </row>
    <row r="4" spans="2:12" x14ac:dyDescent="0.25">
      <c r="B4" s="110">
        <v>7000</v>
      </c>
      <c r="C4" s="111">
        <v>1</v>
      </c>
      <c r="D4" s="111">
        <v>0</v>
      </c>
      <c r="E4" s="111">
        <v>0</v>
      </c>
      <c r="F4" s="110">
        <f>(C4*$K$4)+(D4*$K$5)+(E4*$K$6)</f>
        <v>7000</v>
      </c>
      <c r="G4" s="111">
        <f>SUM(C4:E4)</f>
        <v>1</v>
      </c>
      <c r="J4" t="s">
        <v>33</v>
      </c>
      <c r="K4" s="109">
        <v>7000</v>
      </c>
      <c r="L4" s="108">
        <v>0.87</v>
      </c>
    </row>
    <row r="5" spans="2:12" x14ac:dyDescent="0.25">
      <c r="B5" s="110">
        <v>7500</v>
      </c>
      <c r="C5" s="111">
        <v>0.9</v>
      </c>
      <c r="D5" s="111">
        <v>0.1</v>
      </c>
      <c r="E5" s="111">
        <v>0</v>
      </c>
      <c r="F5" s="110">
        <f t="shared" ref="F5:F10" si="0">(C5*$K$4)+(D5*$K$5)+(E5*$K$6)</f>
        <v>7500</v>
      </c>
      <c r="G5" s="111">
        <f t="shared" ref="G5:G10" si="1">SUM(C5:E5)</f>
        <v>1</v>
      </c>
      <c r="J5" t="s">
        <v>34</v>
      </c>
      <c r="K5" s="109">
        <v>12000</v>
      </c>
      <c r="L5" s="108">
        <v>1.46</v>
      </c>
    </row>
    <row r="6" spans="2:12" x14ac:dyDescent="0.25">
      <c r="B6" s="110">
        <v>8000</v>
      </c>
      <c r="C6" s="111">
        <v>0.8</v>
      </c>
      <c r="D6" s="111">
        <v>0.2</v>
      </c>
      <c r="E6" s="111">
        <v>0</v>
      </c>
      <c r="F6" s="110">
        <f t="shared" si="0"/>
        <v>8000</v>
      </c>
      <c r="G6" s="111">
        <f t="shared" si="1"/>
        <v>1</v>
      </c>
      <c r="J6" t="s">
        <v>37</v>
      </c>
      <c r="K6" s="109">
        <v>20000</v>
      </c>
      <c r="L6" s="108">
        <v>2.39</v>
      </c>
    </row>
    <row r="7" spans="2:12" x14ac:dyDescent="0.25">
      <c r="B7" s="110">
        <v>8500</v>
      </c>
      <c r="C7" s="111">
        <v>0.7</v>
      </c>
      <c r="D7" s="111">
        <v>0.3</v>
      </c>
      <c r="E7" s="111">
        <v>0</v>
      </c>
      <c r="F7" s="110">
        <f t="shared" si="0"/>
        <v>8500</v>
      </c>
      <c r="G7" s="111">
        <f t="shared" si="1"/>
        <v>1</v>
      </c>
    </row>
    <row r="8" spans="2:12" x14ac:dyDescent="0.25">
      <c r="B8" s="110">
        <v>9000</v>
      </c>
      <c r="C8" s="111">
        <v>0.6</v>
      </c>
      <c r="D8" s="111">
        <v>0.4</v>
      </c>
      <c r="E8" s="111">
        <v>0</v>
      </c>
      <c r="F8" s="110">
        <f t="shared" si="0"/>
        <v>9000</v>
      </c>
      <c r="G8" s="111">
        <f t="shared" si="1"/>
        <v>1</v>
      </c>
    </row>
    <row r="9" spans="2:12" x14ac:dyDescent="0.25">
      <c r="B9" s="110">
        <v>9500</v>
      </c>
      <c r="C9" s="111">
        <v>0.5</v>
      </c>
      <c r="D9" s="111">
        <v>0.5</v>
      </c>
      <c r="E9" s="111">
        <v>0</v>
      </c>
      <c r="F9" s="110">
        <f t="shared" si="0"/>
        <v>9500</v>
      </c>
      <c r="G9" s="111">
        <f t="shared" si="1"/>
        <v>1</v>
      </c>
    </row>
    <row r="10" spans="2:12" x14ac:dyDescent="0.25">
      <c r="B10" s="110">
        <v>10000</v>
      </c>
      <c r="C10" s="111">
        <v>0.4</v>
      </c>
      <c r="D10" s="111">
        <v>0.6</v>
      </c>
      <c r="E10" s="111">
        <v>0</v>
      </c>
      <c r="F10" s="110">
        <f t="shared" si="0"/>
        <v>10000</v>
      </c>
      <c r="G10" s="111">
        <f t="shared" si="1"/>
        <v>1</v>
      </c>
    </row>
    <row r="11" spans="2:12" x14ac:dyDescent="0.25">
      <c r="B11" s="110">
        <v>10500</v>
      </c>
      <c r="C11" s="111">
        <v>0.3</v>
      </c>
      <c r="D11" s="111">
        <v>0.7</v>
      </c>
      <c r="E11" s="111">
        <v>0</v>
      </c>
      <c r="F11" s="110">
        <f t="shared" ref="F11" si="2">(C11*$K$4)+(D11*$K$5)+(E11*$K$6)</f>
        <v>10500</v>
      </c>
      <c r="G11" s="111">
        <f t="shared" ref="G11" si="3">SUM(C11:E11)</f>
        <v>1</v>
      </c>
    </row>
    <row r="12" spans="2:12" x14ac:dyDescent="0.25">
      <c r="B12" s="110">
        <v>11000</v>
      </c>
      <c r="C12" s="111">
        <v>0.2</v>
      </c>
      <c r="D12" s="111">
        <v>0.8</v>
      </c>
      <c r="E12" s="111">
        <v>0</v>
      </c>
      <c r="F12" s="110">
        <f t="shared" ref="F12:F30" si="4">(C12*$K$4)+(D12*$K$5)+(E12*$K$6)</f>
        <v>11000</v>
      </c>
      <c r="G12" s="111">
        <f t="shared" ref="G12:G30" si="5">SUM(C12:E12)</f>
        <v>1</v>
      </c>
    </row>
    <row r="13" spans="2:12" x14ac:dyDescent="0.25">
      <c r="B13" s="110">
        <v>11500</v>
      </c>
      <c r="C13" s="111">
        <v>0.1</v>
      </c>
      <c r="D13" s="111">
        <v>0.9</v>
      </c>
      <c r="E13" s="111">
        <v>0</v>
      </c>
      <c r="F13" s="110">
        <f t="shared" si="4"/>
        <v>11500</v>
      </c>
      <c r="G13" s="111">
        <f t="shared" si="5"/>
        <v>1</v>
      </c>
    </row>
    <row r="14" spans="2:12" x14ac:dyDescent="0.25">
      <c r="B14" s="110">
        <v>12000</v>
      </c>
      <c r="C14" s="111">
        <v>0</v>
      </c>
      <c r="D14" s="111">
        <v>1</v>
      </c>
      <c r="E14" s="111">
        <v>0</v>
      </c>
      <c r="F14" s="110">
        <f t="shared" si="4"/>
        <v>12000</v>
      </c>
      <c r="G14" s="111">
        <f t="shared" si="5"/>
        <v>1</v>
      </c>
    </row>
    <row r="15" spans="2:12" x14ac:dyDescent="0.25">
      <c r="B15" s="110">
        <v>12500</v>
      </c>
      <c r="C15" s="111">
        <v>0.4</v>
      </c>
      <c r="D15" s="111">
        <v>0.3</v>
      </c>
      <c r="E15" s="111">
        <v>0.3</v>
      </c>
      <c r="F15" s="110">
        <f t="shared" si="4"/>
        <v>12400</v>
      </c>
      <c r="G15" s="111">
        <f t="shared" si="5"/>
        <v>1</v>
      </c>
    </row>
    <row r="16" spans="2:12" x14ac:dyDescent="0.25">
      <c r="B16" s="110">
        <v>13000</v>
      </c>
      <c r="C16" s="111">
        <v>0</v>
      </c>
      <c r="D16" s="111">
        <v>0.2</v>
      </c>
      <c r="E16" s="111">
        <v>0.5</v>
      </c>
      <c r="F16" s="110">
        <f t="shared" si="4"/>
        <v>12400</v>
      </c>
      <c r="G16" s="111">
        <f t="shared" si="5"/>
        <v>0.7</v>
      </c>
    </row>
    <row r="17" spans="2:7" x14ac:dyDescent="0.25">
      <c r="B17" s="110">
        <v>13500</v>
      </c>
      <c r="C17" s="111">
        <v>0</v>
      </c>
      <c r="D17" s="111">
        <v>0</v>
      </c>
      <c r="E17" s="111">
        <v>0</v>
      </c>
      <c r="F17" s="110">
        <f t="shared" si="4"/>
        <v>0</v>
      </c>
      <c r="G17" s="111">
        <f t="shared" si="5"/>
        <v>0</v>
      </c>
    </row>
    <row r="18" spans="2:7" x14ac:dyDescent="0.25">
      <c r="B18" s="110">
        <v>14000</v>
      </c>
      <c r="C18" s="111">
        <v>0</v>
      </c>
      <c r="D18" s="111">
        <v>0</v>
      </c>
      <c r="E18" s="111">
        <v>0</v>
      </c>
      <c r="F18" s="110">
        <f t="shared" si="4"/>
        <v>0</v>
      </c>
      <c r="G18" s="111">
        <f t="shared" si="5"/>
        <v>0</v>
      </c>
    </row>
    <row r="19" spans="2:7" x14ac:dyDescent="0.25">
      <c r="B19" s="110">
        <v>14500</v>
      </c>
      <c r="C19" s="111">
        <v>0</v>
      </c>
      <c r="D19" s="111">
        <v>0</v>
      </c>
      <c r="E19" s="111">
        <v>0</v>
      </c>
      <c r="F19" s="110">
        <f t="shared" si="4"/>
        <v>0</v>
      </c>
      <c r="G19" s="111">
        <f t="shared" si="5"/>
        <v>0</v>
      </c>
    </row>
    <row r="20" spans="2:7" x14ac:dyDescent="0.25">
      <c r="B20" s="110">
        <v>15000</v>
      </c>
      <c r="C20" s="111">
        <v>0</v>
      </c>
      <c r="D20" s="111">
        <v>0</v>
      </c>
      <c r="E20" s="111">
        <v>0</v>
      </c>
      <c r="F20" s="110">
        <f t="shared" si="4"/>
        <v>0</v>
      </c>
      <c r="G20" s="111">
        <f t="shared" si="5"/>
        <v>0</v>
      </c>
    </row>
    <row r="21" spans="2:7" x14ac:dyDescent="0.25">
      <c r="B21" s="110">
        <v>15500</v>
      </c>
      <c r="C21" s="111">
        <v>0</v>
      </c>
      <c r="D21" s="111">
        <v>0</v>
      </c>
      <c r="E21" s="111">
        <v>0</v>
      </c>
      <c r="F21" s="110">
        <f t="shared" si="4"/>
        <v>0</v>
      </c>
      <c r="G21" s="111">
        <f t="shared" si="5"/>
        <v>0</v>
      </c>
    </row>
    <row r="22" spans="2:7" x14ac:dyDescent="0.25">
      <c r="B22" s="110">
        <v>16000</v>
      </c>
      <c r="C22" s="111">
        <v>0</v>
      </c>
      <c r="D22" s="111">
        <v>0</v>
      </c>
      <c r="E22" s="111">
        <v>0</v>
      </c>
      <c r="F22" s="110">
        <f t="shared" si="4"/>
        <v>0</v>
      </c>
      <c r="G22" s="111">
        <f t="shared" si="5"/>
        <v>0</v>
      </c>
    </row>
    <row r="23" spans="2:7" x14ac:dyDescent="0.25">
      <c r="B23" s="110">
        <v>16500</v>
      </c>
      <c r="C23" s="111">
        <v>0</v>
      </c>
      <c r="D23" s="111">
        <v>0</v>
      </c>
      <c r="E23" s="111">
        <v>0</v>
      </c>
      <c r="F23" s="110">
        <f t="shared" si="4"/>
        <v>0</v>
      </c>
      <c r="G23" s="111">
        <f t="shared" si="5"/>
        <v>0</v>
      </c>
    </row>
    <row r="24" spans="2:7" x14ac:dyDescent="0.25">
      <c r="B24" s="110">
        <v>17000</v>
      </c>
      <c r="C24" s="111">
        <v>0</v>
      </c>
      <c r="D24" s="111">
        <v>0</v>
      </c>
      <c r="E24" s="111">
        <v>0</v>
      </c>
      <c r="F24" s="110">
        <f t="shared" si="4"/>
        <v>0</v>
      </c>
      <c r="G24" s="111">
        <f t="shared" si="5"/>
        <v>0</v>
      </c>
    </row>
    <row r="25" spans="2:7" x14ac:dyDescent="0.25">
      <c r="B25" s="110">
        <v>17500</v>
      </c>
      <c r="C25" s="111">
        <v>0</v>
      </c>
      <c r="D25" s="111">
        <v>0</v>
      </c>
      <c r="E25" s="111">
        <v>0</v>
      </c>
      <c r="F25" s="110">
        <f t="shared" si="4"/>
        <v>0</v>
      </c>
      <c r="G25" s="111">
        <f t="shared" si="5"/>
        <v>0</v>
      </c>
    </row>
    <row r="26" spans="2:7" x14ac:dyDescent="0.25">
      <c r="B26" s="110">
        <v>18000</v>
      </c>
      <c r="C26" s="111">
        <v>0</v>
      </c>
      <c r="D26" s="111">
        <v>0</v>
      </c>
      <c r="E26" s="111">
        <v>0</v>
      </c>
      <c r="F26" s="110">
        <f t="shared" si="4"/>
        <v>0</v>
      </c>
      <c r="G26" s="111">
        <f t="shared" si="5"/>
        <v>0</v>
      </c>
    </row>
    <row r="27" spans="2:7" x14ac:dyDescent="0.25">
      <c r="B27" s="110">
        <v>18500</v>
      </c>
      <c r="C27" s="111">
        <v>0</v>
      </c>
      <c r="D27" s="111">
        <v>0</v>
      </c>
      <c r="E27" s="111">
        <v>0</v>
      </c>
      <c r="F27" s="110">
        <f t="shared" si="4"/>
        <v>0</v>
      </c>
      <c r="G27" s="111">
        <f t="shared" si="5"/>
        <v>0</v>
      </c>
    </row>
    <row r="28" spans="2:7" x14ac:dyDescent="0.25">
      <c r="B28" s="110">
        <v>19000</v>
      </c>
      <c r="C28" s="111">
        <v>0</v>
      </c>
      <c r="D28" s="111">
        <v>0</v>
      </c>
      <c r="E28" s="111">
        <v>0</v>
      </c>
      <c r="F28" s="110">
        <f t="shared" si="4"/>
        <v>0</v>
      </c>
      <c r="G28" s="111">
        <f t="shared" si="5"/>
        <v>0</v>
      </c>
    </row>
    <row r="29" spans="2:7" x14ac:dyDescent="0.25">
      <c r="B29" s="110">
        <v>19500</v>
      </c>
      <c r="C29" s="111">
        <v>0</v>
      </c>
      <c r="D29" s="111">
        <v>0.05</v>
      </c>
      <c r="E29" s="111">
        <v>0.95</v>
      </c>
      <c r="F29" s="110">
        <f t="shared" si="4"/>
        <v>19600</v>
      </c>
      <c r="G29" s="111">
        <f t="shared" si="5"/>
        <v>1</v>
      </c>
    </row>
    <row r="30" spans="2:7" x14ac:dyDescent="0.25">
      <c r="B30" s="110">
        <v>20000</v>
      </c>
      <c r="C30" s="111">
        <v>0</v>
      </c>
      <c r="D30" s="111">
        <v>0</v>
      </c>
      <c r="E30" s="111">
        <v>1</v>
      </c>
      <c r="F30" s="110">
        <f t="shared" si="4"/>
        <v>20000</v>
      </c>
      <c r="G30" s="111">
        <f t="shared" si="5"/>
        <v>1</v>
      </c>
    </row>
  </sheetData>
  <conditionalFormatting sqref="G4">
    <cfRule type="cellIs" dxfId="6" priority="5" operator="notEqual">
      <formula>100%</formula>
    </cfRule>
  </conditionalFormatting>
  <conditionalFormatting sqref="G5:G30">
    <cfRule type="cellIs" dxfId="5" priority="4" operator="notEqual">
      <formula>100%</formula>
    </cfRule>
  </conditionalFormatting>
  <conditionalFormatting sqref="F4">
    <cfRule type="cellIs" dxfId="4" priority="3" operator="notEqual">
      <formula>$B4</formula>
    </cfRule>
  </conditionalFormatting>
  <conditionalFormatting sqref="F5:F30">
    <cfRule type="cellIs" dxfId="3" priority="1" operator="notEqual">
      <formula>$B5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7FCAE-A1DA-4AA7-AEDC-2E0DED9663A9}">
  <dimension ref="B2:AO36"/>
  <sheetViews>
    <sheetView tabSelected="1" workbookViewId="0"/>
  </sheetViews>
  <sheetFormatPr defaultRowHeight="15" x14ac:dyDescent="0.25"/>
  <cols>
    <col min="1" max="1" width="2.7109375" style="145" customWidth="1"/>
    <col min="2" max="7" width="9.140625" style="145"/>
    <col min="8" max="8" width="11" style="145" bestFit="1" customWidth="1"/>
    <col min="9" max="9" width="6.85546875" style="145" bestFit="1" customWidth="1"/>
    <col min="10" max="10" width="13.42578125" style="145" bestFit="1" customWidth="1"/>
    <col min="11" max="11" width="10.85546875" style="145" bestFit="1" customWidth="1"/>
    <col min="12" max="12" width="9.7109375" style="145" bestFit="1" customWidth="1"/>
    <col min="13" max="13" width="10.28515625" style="145" bestFit="1" customWidth="1"/>
    <col min="14" max="14" width="9.140625" style="145"/>
    <col min="15" max="41" width="13.140625" style="145" customWidth="1"/>
    <col min="42" max="16384" width="9.140625" style="145"/>
  </cols>
  <sheetData>
    <row r="2" spans="2:41" x14ac:dyDescent="0.25">
      <c r="B2" s="30" t="s">
        <v>36</v>
      </c>
      <c r="C2" s="30"/>
      <c r="D2" s="30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</row>
    <row r="3" spans="2:41" x14ac:dyDescent="0.25">
      <c r="B3" s="30" t="s">
        <v>39</v>
      </c>
      <c r="C3" s="121" t="s">
        <v>40</v>
      </c>
      <c r="D3" s="121" t="s">
        <v>38</v>
      </c>
      <c r="F3" s="38" t="s">
        <v>72</v>
      </c>
      <c r="G3" s="38" t="s">
        <v>73</v>
      </c>
      <c r="H3" s="38" t="s">
        <v>74</v>
      </c>
      <c r="I3" s="38" t="s">
        <v>75</v>
      </c>
      <c r="J3" s="38" t="s">
        <v>41</v>
      </c>
      <c r="K3" s="38" t="s">
        <v>76</v>
      </c>
      <c r="L3" s="38" t="s">
        <v>77</v>
      </c>
      <c r="M3" s="38" t="s">
        <v>78</v>
      </c>
      <c r="O3" s="38" t="s">
        <v>113</v>
      </c>
      <c r="P3" s="38" t="s">
        <v>79</v>
      </c>
      <c r="Q3" s="38" t="s">
        <v>80</v>
      </c>
      <c r="R3" s="38" t="s">
        <v>114</v>
      </c>
      <c r="S3" s="38" t="s">
        <v>81</v>
      </c>
      <c r="T3" s="38" t="s">
        <v>82</v>
      </c>
      <c r="U3" s="38" t="s">
        <v>83</v>
      </c>
      <c r="V3" s="38" t="s">
        <v>84</v>
      </c>
      <c r="W3" s="38" t="s">
        <v>85</v>
      </c>
      <c r="X3" s="38" t="s">
        <v>86</v>
      </c>
      <c r="Y3" s="38" t="s">
        <v>87</v>
      </c>
      <c r="Z3" s="38" t="s">
        <v>88</v>
      </c>
      <c r="AA3" s="38" t="s">
        <v>89</v>
      </c>
      <c r="AB3" s="38" t="s">
        <v>90</v>
      </c>
      <c r="AC3" s="38" t="s">
        <v>91</v>
      </c>
      <c r="AD3" s="38" t="s">
        <v>92</v>
      </c>
      <c r="AE3" s="38" t="s">
        <v>93</v>
      </c>
      <c r="AF3" s="38" t="s">
        <v>94</v>
      </c>
      <c r="AG3" s="38" t="s">
        <v>95</v>
      </c>
      <c r="AH3" s="38" t="s">
        <v>96</v>
      </c>
      <c r="AI3" s="38" t="s">
        <v>97</v>
      </c>
      <c r="AJ3" s="38" t="s">
        <v>98</v>
      </c>
      <c r="AK3" s="38" t="s">
        <v>99</v>
      </c>
      <c r="AL3" s="38" t="s">
        <v>100</v>
      </c>
      <c r="AM3" s="38" t="s">
        <v>101</v>
      </c>
      <c r="AN3" s="38" t="s">
        <v>102</v>
      </c>
      <c r="AO3" s="38" t="s">
        <v>103</v>
      </c>
    </row>
    <row r="4" spans="2:41" x14ac:dyDescent="0.25">
      <c r="B4" s="145" t="s">
        <v>33</v>
      </c>
      <c r="C4" s="122">
        <v>7000</v>
      </c>
      <c r="D4" s="123">
        <v>0.87</v>
      </c>
      <c r="F4" s="170">
        <v>6</v>
      </c>
      <c r="G4" s="171">
        <v>1</v>
      </c>
      <c r="H4" s="172">
        <f>$G$4/$F$4</f>
        <v>0.16666666666666666</v>
      </c>
      <c r="I4" s="87">
        <f>COUNTA(B4:B6)</f>
        <v>3</v>
      </c>
      <c r="J4" s="87">
        <f>(F4+1)^I4</f>
        <v>343</v>
      </c>
      <c r="K4" s="173">
        <f>COUNTIFS(F:F,"&gt;=" &amp; J6, F:F,"&lt;=" &amp; K6, E:E,"&gt;99,8%", E:E, "&lt;100,02%")</f>
        <v>12</v>
      </c>
      <c r="L4" s="29">
        <v>1023</v>
      </c>
      <c r="M4" s="29">
        <f>ROUND(L4/(K4),0)</f>
        <v>85</v>
      </c>
      <c r="N4" s="29">
        <f t="shared" ref="N4:O4" si="0">ROUND(M4/(L4+1),0)</f>
        <v>0</v>
      </c>
      <c r="O4" s="29">
        <f t="shared" si="0"/>
        <v>0</v>
      </c>
      <c r="P4" s="87">
        <f>IF(O4+($M$4)&lt;=$L$4,O4+($M$4),$L$4)</f>
        <v>85</v>
      </c>
      <c r="Q4" s="87">
        <f>IF(P4+($M$4)&lt;=$L$4,P4+($M$4),$L$4)</f>
        <v>170</v>
      </c>
      <c r="R4" s="87">
        <f t="shared" ref="R4:AN4" si="1">IF(Q4+($M$4)&lt;=$L$4,Q4+($M$4),$L$4)</f>
        <v>255</v>
      </c>
      <c r="S4" s="87">
        <f t="shared" si="1"/>
        <v>340</v>
      </c>
      <c r="T4" s="87">
        <f t="shared" si="1"/>
        <v>425</v>
      </c>
      <c r="U4" s="87">
        <f t="shared" si="1"/>
        <v>510</v>
      </c>
      <c r="V4" s="87">
        <f t="shared" si="1"/>
        <v>595</v>
      </c>
      <c r="W4" s="87">
        <f t="shared" si="1"/>
        <v>680</v>
      </c>
      <c r="X4" s="87">
        <f t="shared" si="1"/>
        <v>765</v>
      </c>
      <c r="Y4" s="87">
        <f t="shared" si="1"/>
        <v>850</v>
      </c>
      <c r="Z4" s="87">
        <f t="shared" si="1"/>
        <v>935</v>
      </c>
      <c r="AA4" s="87">
        <f t="shared" si="1"/>
        <v>1020</v>
      </c>
      <c r="AB4" s="87">
        <f t="shared" si="1"/>
        <v>1023</v>
      </c>
      <c r="AC4" s="87">
        <f t="shared" si="1"/>
        <v>1023</v>
      </c>
      <c r="AD4" s="87">
        <f t="shared" si="1"/>
        <v>1023</v>
      </c>
      <c r="AE4" s="87">
        <f t="shared" si="1"/>
        <v>1023</v>
      </c>
      <c r="AF4" s="87">
        <f t="shared" si="1"/>
        <v>1023</v>
      </c>
      <c r="AG4" s="87">
        <f t="shared" si="1"/>
        <v>1023</v>
      </c>
      <c r="AH4" s="87">
        <f t="shared" si="1"/>
        <v>1023</v>
      </c>
      <c r="AI4" s="87">
        <f t="shared" si="1"/>
        <v>1023</v>
      </c>
      <c r="AJ4" s="87">
        <f t="shared" si="1"/>
        <v>1023</v>
      </c>
      <c r="AK4" s="87">
        <f t="shared" si="1"/>
        <v>1023</v>
      </c>
      <c r="AL4" s="87">
        <f t="shared" si="1"/>
        <v>1023</v>
      </c>
      <c r="AM4" s="87">
        <f t="shared" si="1"/>
        <v>1023</v>
      </c>
      <c r="AN4" s="87">
        <f t="shared" si="1"/>
        <v>1023</v>
      </c>
      <c r="AO4" s="87">
        <f>IF(AN4+($M$4)&lt;=$L$4,AN4+($M$4),$L$4)</f>
        <v>1023</v>
      </c>
    </row>
    <row r="5" spans="2:41" x14ac:dyDescent="0.25">
      <c r="B5" s="145" t="s">
        <v>34</v>
      </c>
      <c r="C5" s="122">
        <v>12000</v>
      </c>
      <c r="D5" s="123">
        <v>1.46</v>
      </c>
      <c r="F5" s="29"/>
      <c r="G5" s="29"/>
      <c r="H5" s="29"/>
      <c r="I5" s="29"/>
      <c r="J5" s="38" t="s">
        <v>104</v>
      </c>
      <c r="K5" s="38" t="s">
        <v>105</v>
      </c>
      <c r="L5" s="29"/>
      <c r="M5" s="29"/>
      <c r="O5" s="87">
        <f>IF(O4+($M$4-1)&lt;=$L$4, O4+($M$4-1), $L$4)</f>
        <v>84</v>
      </c>
      <c r="P5" s="87">
        <f t="shared" ref="P5:AO5" si="2">IF(P4+($M$4-1)&lt;=$L$4, P4+($M$4-1), $L$4)</f>
        <v>169</v>
      </c>
      <c r="Q5" s="87">
        <f t="shared" si="2"/>
        <v>254</v>
      </c>
      <c r="R5" s="87">
        <f t="shared" si="2"/>
        <v>339</v>
      </c>
      <c r="S5" s="87">
        <f t="shared" si="2"/>
        <v>424</v>
      </c>
      <c r="T5" s="87">
        <f t="shared" si="2"/>
        <v>509</v>
      </c>
      <c r="U5" s="87">
        <f t="shared" si="2"/>
        <v>594</v>
      </c>
      <c r="V5" s="87">
        <f t="shared" si="2"/>
        <v>679</v>
      </c>
      <c r="W5" s="87">
        <f t="shared" si="2"/>
        <v>764</v>
      </c>
      <c r="X5" s="87">
        <f t="shared" si="2"/>
        <v>849</v>
      </c>
      <c r="Y5" s="87">
        <f t="shared" si="2"/>
        <v>934</v>
      </c>
      <c r="Z5" s="87">
        <f t="shared" si="2"/>
        <v>1019</v>
      </c>
      <c r="AA5" s="87">
        <f t="shared" si="2"/>
        <v>1023</v>
      </c>
      <c r="AB5" s="87">
        <f t="shared" si="2"/>
        <v>1023</v>
      </c>
      <c r="AC5" s="87">
        <f t="shared" si="2"/>
        <v>1023</v>
      </c>
      <c r="AD5" s="87">
        <f t="shared" si="2"/>
        <v>1023</v>
      </c>
      <c r="AE5" s="87">
        <f t="shared" si="2"/>
        <v>1023</v>
      </c>
      <c r="AF5" s="87">
        <f t="shared" si="2"/>
        <v>1023</v>
      </c>
      <c r="AG5" s="87">
        <f t="shared" si="2"/>
        <v>1023</v>
      </c>
      <c r="AH5" s="87">
        <f t="shared" si="2"/>
        <v>1023</v>
      </c>
      <c r="AI5" s="87">
        <f t="shared" si="2"/>
        <v>1023</v>
      </c>
      <c r="AJ5" s="87">
        <f t="shared" si="2"/>
        <v>1023</v>
      </c>
      <c r="AK5" s="87">
        <f t="shared" si="2"/>
        <v>1023</v>
      </c>
      <c r="AL5" s="87">
        <f t="shared" si="2"/>
        <v>1023</v>
      </c>
      <c r="AM5" s="87">
        <f t="shared" si="2"/>
        <v>1023</v>
      </c>
      <c r="AN5" s="87">
        <f t="shared" si="2"/>
        <v>1023</v>
      </c>
      <c r="AO5" s="87">
        <f t="shared" si="2"/>
        <v>1023</v>
      </c>
    </row>
    <row r="6" spans="2:41" x14ac:dyDescent="0.25">
      <c r="B6" s="145" t="s">
        <v>37</v>
      </c>
      <c r="C6" s="122">
        <v>20000</v>
      </c>
      <c r="D6" s="123">
        <v>2.39</v>
      </c>
      <c r="F6" s="174"/>
      <c r="G6" s="29"/>
      <c r="H6" s="29"/>
      <c r="I6" s="29"/>
      <c r="J6" s="110">
        <f>C4</f>
        <v>7000</v>
      </c>
      <c r="K6" s="175">
        <v>12000</v>
      </c>
      <c r="L6" s="29"/>
      <c r="M6" s="29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29"/>
      <c r="AN6" s="29"/>
      <c r="AO6" s="29"/>
    </row>
    <row r="8" spans="2:41" x14ac:dyDescent="0.25">
      <c r="B8" s="38" t="s">
        <v>37</v>
      </c>
      <c r="C8" s="38" t="s">
        <v>34</v>
      </c>
      <c r="D8" s="38" t="s">
        <v>33</v>
      </c>
      <c r="E8" s="38" t="s">
        <v>44</v>
      </c>
      <c r="F8" s="38" t="s">
        <v>47</v>
      </c>
      <c r="G8" s="38" t="s">
        <v>45</v>
      </c>
      <c r="I8" s="176" t="s">
        <v>106</v>
      </c>
      <c r="J8" s="176" t="s">
        <v>107</v>
      </c>
      <c r="K8" s="176" t="s">
        <v>108</v>
      </c>
      <c r="L8" s="176" t="s">
        <v>109</v>
      </c>
      <c r="M8" s="176" t="s">
        <v>110</v>
      </c>
      <c r="N8" s="176" t="s">
        <v>47</v>
      </c>
      <c r="O8" s="176" t="s">
        <v>111</v>
      </c>
      <c r="Q8" s="177" t="s">
        <v>112</v>
      </c>
      <c r="R8" s="177"/>
      <c r="S8" s="177"/>
      <c r="T8" s="177"/>
      <c r="U8" s="177"/>
    </row>
    <row r="9" spans="2:41" x14ac:dyDescent="0.25">
      <c r="B9" s="178">
        <v>0</v>
      </c>
      <c r="C9" s="125">
        <v>0</v>
      </c>
      <c r="D9" s="125">
        <v>0.99999999999999989</v>
      </c>
      <c r="E9" s="125">
        <v>0.99999999999999989</v>
      </c>
      <c r="F9" s="126">
        <v>6999.9999999999991</v>
      </c>
      <c r="G9" s="179">
        <v>0.86999999999999988</v>
      </c>
      <c r="I9" s="180">
        <f t="shared" ref="I9:I36" si="3">SUM(K9:M9)</f>
        <v>100</v>
      </c>
      <c r="J9" s="180">
        <v>0</v>
      </c>
      <c r="K9" s="29">
        <v>100</v>
      </c>
      <c r="L9" s="29">
        <v>0</v>
      </c>
      <c r="M9" s="29">
        <v>0</v>
      </c>
      <c r="N9" s="109">
        <f>F9</f>
        <v>6999.9999999999991</v>
      </c>
      <c r="O9" s="83">
        <f>G9</f>
        <v>0.86999999999999988</v>
      </c>
      <c r="Q9" s="145" t="str">
        <f>CONCATENATE("{{",K9, ", ", L9, ", ", M9, "}, ",ROUND(N9,0), ", ", ROUND(O9,3),"}, /* Heat level ", J9, " = ",ROUND(N9,0), " Kcal/h */")</f>
        <v>{{100, 0, 0}, 7000, 0,87}, /* Heat level 0 = 7000 Kcal/h */</v>
      </c>
    </row>
    <row r="10" spans="2:41" x14ac:dyDescent="0.25">
      <c r="B10" s="120">
        <v>0</v>
      </c>
      <c r="C10" s="120">
        <v>0.16666666666666666</v>
      </c>
      <c r="D10" s="120">
        <v>0.83333333333333326</v>
      </c>
      <c r="E10" s="120">
        <v>0.99999999999999989</v>
      </c>
      <c r="F10" s="109">
        <v>7833.333333333333</v>
      </c>
      <c r="G10" s="83">
        <v>0.96833333333333327</v>
      </c>
      <c r="I10" s="180">
        <f t="shared" si="3"/>
        <v>100</v>
      </c>
      <c r="J10" s="180">
        <v>1</v>
      </c>
      <c r="K10" s="29">
        <v>83</v>
      </c>
      <c r="L10" s="29">
        <v>17</v>
      </c>
      <c r="M10" s="29">
        <v>0</v>
      </c>
      <c r="N10" s="109">
        <f t="shared" ref="N10:O36" si="4">F10</f>
        <v>7833.333333333333</v>
      </c>
      <c r="O10" s="83">
        <f t="shared" si="4"/>
        <v>0.96833333333333327</v>
      </c>
      <c r="Q10" s="145" t="str">
        <f t="shared" ref="Q10:Q36" si="5">CONCATENATE("{{",K10, ", ", L10, ", ", M10, "}, ",ROUND(N10,0), ", ", ROUND(O10,3),"}, /* Heat level ", J10, " = ",ROUND(N10,0), " Kcal/h */")</f>
        <v>{{83, 17, 0}, 7833, 0,968}, /* Heat level 1 = 7833 Kcal/h */</v>
      </c>
      <c r="S10" s="30"/>
    </row>
    <row r="11" spans="2:41" x14ac:dyDescent="0.25">
      <c r="B11" s="120">
        <v>0</v>
      </c>
      <c r="C11" s="120">
        <v>0.33333333333333331</v>
      </c>
      <c r="D11" s="120">
        <v>0.66666666666666663</v>
      </c>
      <c r="E11" s="120">
        <v>1</v>
      </c>
      <c r="F11" s="109">
        <v>8666.6666666666661</v>
      </c>
      <c r="G11" s="83">
        <v>1.0666666666666667</v>
      </c>
      <c r="I11" s="180">
        <f t="shared" si="3"/>
        <v>100</v>
      </c>
      <c r="J11" s="180">
        <v>2</v>
      </c>
      <c r="K11" s="29">
        <v>67</v>
      </c>
      <c r="L11" s="29">
        <v>33</v>
      </c>
      <c r="M11" s="29">
        <v>0</v>
      </c>
      <c r="N11" s="109">
        <f t="shared" si="4"/>
        <v>8666.6666666666661</v>
      </c>
      <c r="O11" s="83">
        <f t="shared" si="4"/>
        <v>1.0666666666666667</v>
      </c>
      <c r="Q11" s="145" t="str">
        <f t="shared" si="5"/>
        <v>{{67, 33, 0}, 8667, 1,067}, /* Heat level 2 = 8667 Kcal/h */</v>
      </c>
      <c r="S11" s="30"/>
    </row>
    <row r="12" spans="2:41" x14ac:dyDescent="0.25">
      <c r="B12" s="120">
        <v>0.16666666666666666</v>
      </c>
      <c r="C12" s="120">
        <v>0</v>
      </c>
      <c r="D12" s="120">
        <v>0.83333333333333326</v>
      </c>
      <c r="E12" s="120">
        <v>0.99999999999999989</v>
      </c>
      <c r="F12" s="109">
        <v>9166.6666666666661</v>
      </c>
      <c r="G12" s="83">
        <v>1.1233333333333333</v>
      </c>
      <c r="I12" s="180">
        <f t="shared" si="3"/>
        <v>100</v>
      </c>
      <c r="J12" s="180">
        <v>3</v>
      </c>
      <c r="K12" s="29">
        <v>83</v>
      </c>
      <c r="L12" s="29">
        <v>0</v>
      </c>
      <c r="M12" s="29">
        <v>17</v>
      </c>
      <c r="N12" s="109">
        <f t="shared" si="4"/>
        <v>9166.6666666666661</v>
      </c>
      <c r="O12" s="83">
        <f t="shared" si="4"/>
        <v>1.1233333333333333</v>
      </c>
      <c r="Q12" s="145" t="str">
        <f t="shared" si="5"/>
        <v>{{83, 0, 17}, 9167, 1,123}, /* Heat level 3 = 9167 Kcal/h */</v>
      </c>
      <c r="S12" s="30"/>
    </row>
    <row r="13" spans="2:41" x14ac:dyDescent="0.25">
      <c r="B13" s="120">
        <v>0</v>
      </c>
      <c r="C13" s="120">
        <v>0.5</v>
      </c>
      <c r="D13" s="120">
        <v>0.5</v>
      </c>
      <c r="E13" s="120">
        <v>1</v>
      </c>
      <c r="F13" s="109">
        <v>9500</v>
      </c>
      <c r="G13" s="83">
        <v>1.165</v>
      </c>
      <c r="I13" s="180">
        <f t="shared" si="3"/>
        <v>100</v>
      </c>
      <c r="J13" s="180">
        <v>4</v>
      </c>
      <c r="K13" s="29">
        <v>50</v>
      </c>
      <c r="L13" s="29">
        <v>50</v>
      </c>
      <c r="M13" s="29">
        <v>0</v>
      </c>
      <c r="N13" s="109">
        <f t="shared" si="4"/>
        <v>9500</v>
      </c>
      <c r="O13" s="83">
        <f t="shared" si="4"/>
        <v>1.165</v>
      </c>
      <c r="Q13" s="145" t="str">
        <f t="shared" si="5"/>
        <v>{{50, 50, 0}, 9500, 1,165}, /* Heat level 4 = 9500 Kcal/h */</v>
      </c>
      <c r="S13" s="30"/>
    </row>
    <row r="14" spans="2:41" x14ac:dyDescent="0.25">
      <c r="B14" s="120">
        <v>0.16666666666666666</v>
      </c>
      <c r="C14" s="120">
        <v>0.16666666666666666</v>
      </c>
      <c r="D14" s="120">
        <v>0.66666666666666663</v>
      </c>
      <c r="E14" s="120">
        <v>0.99999999999999989</v>
      </c>
      <c r="F14" s="109">
        <v>10000</v>
      </c>
      <c r="G14" s="83">
        <v>1.2216666666666667</v>
      </c>
      <c r="I14" s="180">
        <f t="shared" si="3"/>
        <v>100</v>
      </c>
      <c r="J14" s="180">
        <v>5</v>
      </c>
      <c r="K14" s="29">
        <v>67</v>
      </c>
      <c r="L14" s="29">
        <v>17</v>
      </c>
      <c r="M14" s="29">
        <v>16</v>
      </c>
      <c r="N14" s="109">
        <f t="shared" si="4"/>
        <v>10000</v>
      </c>
      <c r="O14" s="83">
        <f t="shared" si="4"/>
        <v>1.2216666666666667</v>
      </c>
      <c r="Q14" s="145" t="str">
        <f t="shared" si="5"/>
        <v>{{67, 17, 16}, 10000, 1,222}, /* Heat level 5 = 10000 Kcal/h */</v>
      </c>
      <c r="S14" s="30"/>
    </row>
    <row r="15" spans="2:41" x14ac:dyDescent="0.25">
      <c r="B15" s="120">
        <v>0</v>
      </c>
      <c r="C15" s="120">
        <v>0.66666666666666663</v>
      </c>
      <c r="D15" s="120">
        <v>0.33333333333333331</v>
      </c>
      <c r="E15" s="120">
        <v>1</v>
      </c>
      <c r="F15" s="109">
        <v>10333.333333333332</v>
      </c>
      <c r="G15" s="83">
        <v>1.2633333333333332</v>
      </c>
      <c r="I15" s="180">
        <f t="shared" si="3"/>
        <v>100</v>
      </c>
      <c r="J15" s="180">
        <v>6</v>
      </c>
      <c r="K15" s="29">
        <v>33</v>
      </c>
      <c r="L15" s="29">
        <v>67</v>
      </c>
      <c r="M15" s="29">
        <v>0</v>
      </c>
      <c r="N15" s="109">
        <f t="shared" si="4"/>
        <v>10333.333333333332</v>
      </c>
      <c r="O15" s="83">
        <f t="shared" si="4"/>
        <v>1.2633333333333332</v>
      </c>
      <c r="Q15" s="145" t="str">
        <f t="shared" si="5"/>
        <v>{{33, 67, 0}, 10333, 1,263}, /* Heat level 6 = 10333 Kcal/h */</v>
      </c>
      <c r="S15" s="30"/>
    </row>
    <row r="16" spans="2:41" x14ac:dyDescent="0.25">
      <c r="B16" s="120">
        <v>0.16666666666666666</v>
      </c>
      <c r="C16" s="120">
        <v>0.33333333333333331</v>
      </c>
      <c r="D16" s="120">
        <v>0.5</v>
      </c>
      <c r="E16" s="120">
        <v>0.99999999999999989</v>
      </c>
      <c r="F16" s="109">
        <v>10833.333333333332</v>
      </c>
      <c r="G16" s="83">
        <v>1.3199999999999998</v>
      </c>
      <c r="I16" s="180">
        <f t="shared" si="3"/>
        <v>100</v>
      </c>
      <c r="J16" s="180">
        <v>7</v>
      </c>
      <c r="K16" s="29">
        <v>50</v>
      </c>
      <c r="L16" s="29">
        <v>33</v>
      </c>
      <c r="M16" s="29">
        <v>17</v>
      </c>
      <c r="N16" s="109">
        <f t="shared" si="4"/>
        <v>10833.333333333332</v>
      </c>
      <c r="O16" s="83">
        <f t="shared" si="4"/>
        <v>1.3199999999999998</v>
      </c>
      <c r="Q16" s="145" t="str">
        <f t="shared" si="5"/>
        <v>{{50, 33, 17}, 10833, 1,32}, /* Heat level 7 = 10833 Kcal/h */</v>
      </c>
      <c r="S16" s="30"/>
    </row>
    <row r="17" spans="2:19" x14ac:dyDescent="0.25">
      <c r="B17" s="120">
        <v>0</v>
      </c>
      <c r="C17" s="120">
        <v>0.83333333333333326</v>
      </c>
      <c r="D17" s="120">
        <v>0.16666666666666666</v>
      </c>
      <c r="E17" s="120">
        <v>0.99999999999999989</v>
      </c>
      <c r="F17" s="109">
        <v>11166.666666666666</v>
      </c>
      <c r="G17" s="83">
        <v>1.3616666666666666</v>
      </c>
      <c r="I17" s="180">
        <f t="shared" si="3"/>
        <v>100</v>
      </c>
      <c r="J17" s="180">
        <v>8</v>
      </c>
      <c r="K17" s="29">
        <v>17</v>
      </c>
      <c r="L17" s="29">
        <v>83</v>
      </c>
      <c r="M17" s="29">
        <v>0</v>
      </c>
      <c r="N17" s="109">
        <f t="shared" si="4"/>
        <v>11166.666666666666</v>
      </c>
      <c r="O17" s="83">
        <f t="shared" si="4"/>
        <v>1.3616666666666666</v>
      </c>
      <c r="Q17" s="145" t="str">
        <f t="shared" si="5"/>
        <v>{{17, 83, 0}, 11167, 1,362}, /* Heat level 8 = 11167 Kcal/h */</v>
      </c>
      <c r="S17" s="30"/>
    </row>
    <row r="18" spans="2:19" x14ac:dyDescent="0.25">
      <c r="B18" s="120">
        <v>0.33333333333333331</v>
      </c>
      <c r="C18" s="120">
        <v>0</v>
      </c>
      <c r="D18" s="120">
        <v>0.66666666666666663</v>
      </c>
      <c r="E18" s="120">
        <v>1</v>
      </c>
      <c r="F18" s="109">
        <v>11333.333333333332</v>
      </c>
      <c r="G18" s="83">
        <v>1.3766666666666665</v>
      </c>
      <c r="I18" s="180">
        <f t="shared" si="3"/>
        <v>100</v>
      </c>
      <c r="J18" s="180">
        <v>9</v>
      </c>
      <c r="K18" s="29">
        <v>67</v>
      </c>
      <c r="L18" s="29">
        <v>0</v>
      </c>
      <c r="M18" s="29">
        <v>33</v>
      </c>
      <c r="N18" s="109">
        <f t="shared" si="4"/>
        <v>11333.333333333332</v>
      </c>
      <c r="O18" s="83">
        <f t="shared" si="4"/>
        <v>1.3766666666666665</v>
      </c>
      <c r="Q18" s="145" t="str">
        <f t="shared" si="5"/>
        <v>{{67, 0, 33}, 11333, 1,377}, /* Heat level 9 = 11333 Kcal/h */</v>
      </c>
      <c r="S18" s="30"/>
    </row>
    <row r="19" spans="2:19" x14ac:dyDescent="0.25">
      <c r="B19" s="120">
        <v>0.16666666666666666</v>
      </c>
      <c r="C19" s="120">
        <v>0.5</v>
      </c>
      <c r="D19" s="120">
        <v>0.33333333333333331</v>
      </c>
      <c r="E19" s="120">
        <v>0.99999999999999989</v>
      </c>
      <c r="F19" s="109">
        <v>11666.666666666664</v>
      </c>
      <c r="G19" s="83">
        <v>1.4183333333333334</v>
      </c>
      <c r="I19" s="180">
        <f t="shared" si="3"/>
        <v>100</v>
      </c>
      <c r="J19" s="180">
        <v>10</v>
      </c>
      <c r="K19" s="29">
        <v>33</v>
      </c>
      <c r="L19" s="29">
        <v>50</v>
      </c>
      <c r="M19" s="29">
        <v>17</v>
      </c>
      <c r="N19" s="109">
        <f t="shared" si="4"/>
        <v>11666.666666666664</v>
      </c>
      <c r="O19" s="83">
        <f t="shared" si="4"/>
        <v>1.4183333333333334</v>
      </c>
      <c r="Q19" s="145" t="str">
        <f t="shared" si="5"/>
        <v>{{33, 50, 17}, 11667, 1,418}, /* Heat level 10 = 11667 Kcal/h */</v>
      </c>
      <c r="S19" s="30"/>
    </row>
    <row r="20" spans="2:19" x14ac:dyDescent="0.25">
      <c r="B20" s="178">
        <v>0</v>
      </c>
      <c r="C20" s="125">
        <v>0.99999999999999989</v>
      </c>
      <c r="D20" s="125">
        <v>0</v>
      </c>
      <c r="E20" s="125">
        <v>0.99999999999999989</v>
      </c>
      <c r="F20" s="126">
        <v>11999.999999999998</v>
      </c>
      <c r="G20" s="179">
        <v>1.4599999999999997</v>
      </c>
      <c r="I20" s="180">
        <f t="shared" si="3"/>
        <v>100</v>
      </c>
      <c r="J20" s="180">
        <v>11</v>
      </c>
      <c r="K20" s="29">
        <v>0</v>
      </c>
      <c r="L20" s="29">
        <v>100</v>
      </c>
      <c r="M20" s="29">
        <v>0</v>
      </c>
      <c r="N20" s="109">
        <f t="shared" si="4"/>
        <v>11999.999999999998</v>
      </c>
      <c r="O20" s="83">
        <f t="shared" si="4"/>
        <v>1.4599999999999997</v>
      </c>
      <c r="Q20" s="145" t="str">
        <f t="shared" si="5"/>
        <v>{{0, 100, 0}, 12000, 1,46}, /* Heat level 11 = 12000 Kcal/h */</v>
      </c>
      <c r="S20" s="30"/>
    </row>
    <row r="21" spans="2:19" x14ac:dyDescent="0.25">
      <c r="B21" s="120">
        <v>0.33333333333333331</v>
      </c>
      <c r="C21" s="120">
        <v>0.16666666666666666</v>
      </c>
      <c r="D21" s="120">
        <v>0.5</v>
      </c>
      <c r="E21" s="120">
        <v>1</v>
      </c>
      <c r="F21" s="109">
        <v>12166.666666666666</v>
      </c>
      <c r="G21" s="83">
        <v>1.4750000000000001</v>
      </c>
      <c r="I21" s="180">
        <f t="shared" si="3"/>
        <v>100</v>
      </c>
      <c r="J21" s="180">
        <v>12</v>
      </c>
      <c r="K21" s="29">
        <v>50</v>
      </c>
      <c r="L21" s="29">
        <v>17</v>
      </c>
      <c r="M21" s="29">
        <v>33</v>
      </c>
      <c r="N21" s="109">
        <f t="shared" si="4"/>
        <v>12166.666666666666</v>
      </c>
      <c r="O21" s="83">
        <f t="shared" si="4"/>
        <v>1.4750000000000001</v>
      </c>
      <c r="Q21" s="145" t="str">
        <f t="shared" si="5"/>
        <v>{{50, 17, 33}, 12167, 1,475}, /* Heat level 12 = 12167 Kcal/h */</v>
      </c>
      <c r="S21" s="30"/>
    </row>
    <row r="22" spans="2:19" x14ac:dyDescent="0.25">
      <c r="B22" s="120">
        <v>0.16666666666666666</v>
      </c>
      <c r="C22" s="120">
        <v>0.66666666666666663</v>
      </c>
      <c r="D22" s="120">
        <v>0.16666666666666666</v>
      </c>
      <c r="E22" s="120">
        <v>0.99999999999999989</v>
      </c>
      <c r="F22" s="109">
        <v>12500</v>
      </c>
      <c r="G22" s="83">
        <v>1.5166666666666666</v>
      </c>
      <c r="I22" s="180">
        <f t="shared" si="3"/>
        <v>100</v>
      </c>
      <c r="J22" s="180">
        <v>13</v>
      </c>
      <c r="K22" s="29">
        <v>17</v>
      </c>
      <c r="L22" s="29">
        <v>67</v>
      </c>
      <c r="M22" s="29">
        <v>16</v>
      </c>
      <c r="N22" s="109">
        <f t="shared" si="4"/>
        <v>12500</v>
      </c>
      <c r="O22" s="83">
        <f t="shared" si="4"/>
        <v>1.5166666666666666</v>
      </c>
      <c r="Q22" s="145" t="str">
        <f t="shared" si="5"/>
        <v>{{17, 67, 16}, 12500, 1,517}, /* Heat level 13 = 12500 Kcal/h */</v>
      </c>
      <c r="S22" s="30"/>
    </row>
    <row r="23" spans="2:19" x14ac:dyDescent="0.25">
      <c r="B23" s="120">
        <v>0.33333333333333331</v>
      </c>
      <c r="C23" s="120">
        <v>0.33333333333333331</v>
      </c>
      <c r="D23" s="120">
        <v>0.33333333333333331</v>
      </c>
      <c r="E23" s="120">
        <v>1</v>
      </c>
      <c r="F23" s="109">
        <v>13000</v>
      </c>
      <c r="G23" s="83">
        <v>1.5733333333333333</v>
      </c>
      <c r="I23" s="180">
        <f t="shared" si="3"/>
        <v>100</v>
      </c>
      <c r="J23" s="180">
        <v>14</v>
      </c>
      <c r="K23" s="29">
        <v>34</v>
      </c>
      <c r="L23" s="29">
        <v>33</v>
      </c>
      <c r="M23" s="29">
        <v>33</v>
      </c>
      <c r="N23" s="109">
        <f t="shared" si="4"/>
        <v>13000</v>
      </c>
      <c r="O23" s="83">
        <f t="shared" si="4"/>
        <v>1.5733333333333333</v>
      </c>
      <c r="Q23" s="145" t="str">
        <f t="shared" si="5"/>
        <v>{{34, 33, 33}, 13000, 1,573}, /* Heat level 14 = 13000 Kcal/h */</v>
      </c>
      <c r="S23" s="30"/>
    </row>
    <row r="24" spans="2:19" x14ac:dyDescent="0.25">
      <c r="B24" s="120">
        <v>0.16666666666666666</v>
      </c>
      <c r="C24" s="120">
        <v>0.83333333333333326</v>
      </c>
      <c r="D24" s="120">
        <v>0</v>
      </c>
      <c r="E24" s="120">
        <v>0.99999999999999989</v>
      </c>
      <c r="F24" s="109">
        <v>13333.333333333332</v>
      </c>
      <c r="G24" s="83">
        <v>1.6149999999999998</v>
      </c>
      <c r="I24" s="180">
        <f t="shared" si="3"/>
        <v>100</v>
      </c>
      <c r="J24" s="180">
        <v>15</v>
      </c>
      <c r="K24" s="29">
        <v>0</v>
      </c>
      <c r="L24" s="29">
        <v>83</v>
      </c>
      <c r="M24" s="29">
        <v>17</v>
      </c>
      <c r="N24" s="109">
        <f t="shared" si="4"/>
        <v>13333.333333333332</v>
      </c>
      <c r="O24" s="83">
        <f t="shared" si="4"/>
        <v>1.6149999999999998</v>
      </c>
      <c r="Q24" s="145" t="str">
        <f t="shared" si="5"/>
        <v>{{0, 83, 17}, 13333, 1,615}, /* Heat level 15 = 13333 Kcal/h */</v>
      </c>
      <c r="S24" s="30"/>
    </row>
    <row r="25" spans="2:19" x14ac:dyDescent="0.25">
      <c r="B25" s="120">
        <v>0.5</v>
      </c>
      <c r="C25" s="120">
        <v>0</v>
      </c>
      <c r="D25" s="120">
        <v>0.5</v>
      </c>
      <c r="E25" s="120">
        <v>1</v>
      </c>
      <c r="F25" s="109">
        <v>13500</v>
      </c>
      <c r="G25" s="83">
        <v>1.6300000000000001</v>
      </c>
      <c r="I25" s="180">
        <f t="shared" si="3"/>
        <v>100</v>
      </c>
      <c r="J25" s="180">
        <v>16</v>
      </c>
      <c r="K25" s="29">
        <v>50</v>
      </c>
      <c r="L25" s="29">
        <v>0</v>
      </c>
      <c r="M25" s="29">
        <v>50</v>
      </c>
      <c r="N25" s="109">
        <f t="shared" si="4"/>
        <v>13500</v>
      </c>
      <c r="O25" s="83">
        <f t="shared" si="4"/>
        <v>1.6300000000000001</v>
      </c>
      <c r="Q25" s="145" t="str">
        <f t="shared" si="5"/>
        <v>{{50, 0, 50}, 13500, 1,63}, /* Heat level 16 = 13500 Kcal/h */</v>
      </c>
      <c r="S25" s="30"/>
    </row>
    <row r="26" spans="2:19" x14ac:dyDescent="0.25">
      <c r="B26" s="120">
        <v>0.33333333333333331</v>
      </c>
      <c r="C26" s="120">
        <v>0.5</v>
      </c>
      <c r="D26" s="120">
        <v>0.16666666666666666</v>
      </c>
      <c r="E26" s="120">
        <v>1</v>
      </c>
      <c r="F26" s="109">
        <v>13833.333333333332</v>
      </c>
      <c r="G26" s="83">
        <v>1.6716666666666666</v>
      </c>
      <c r="I26" s="180">
        <f t="shared" si="3"/>
        <v>100</v>
      </c>
      <c r="J26" s="180">
        <v>17</v>
      </c>
      <c r="K26" s="29">
        <v>17</v>
      </c>
      <c r="L26" s="29">
        <v>50</v>
      </c>
      <c r="M26" s="29">
        <v>33</v>
      </c>
      <c r="N26" s="109">
        <f t="shared" si="4"/>
        <v>13833.333333333332</v>
      </c>
      <c r="O26" s="83">
        <f t="shared" si="4"/>
        <v>1.6716666666666666</v>
      </c>
      <c r="Q26" s="145" t="str">
        <f t="shared" si="5"/>
        <v>{{17, 50, 33}, 13833, 1,672}, /* Heat level 17 = 13833 Kcal/h */</v>
      </c>
      <c r="S26" s="30"/>
    </row>
    <row r="27" spans="2:19" x14ac:dyDescent="0.25">
      <c r="B27" s="120">
        <v>0.5</v>
      </c>
      <c r="C27" s="120">
        <v>0.16666666666666666</v>
      </c>
      <c r="D27" s="120">
        <v>0.33333333333333331</v>
      </c>
      <c r="E27" s="120">
        <v>1</v>
      </c>
      <c r="F27" s="109">
        <v>14333.333333333332</v>
      </c>
      <c r="G27" s="83">
        <v>1.7283333333333335</v>
      </c>
      <c r="I27" s="180">
        <f t="shared" si="3"/>
        <v>100</v>
      </c>
      <c r="J27" s="180">
        <v>18</v>
      </c>
      <c r="K27" s="29">
        <v>33</v>
      </c>
      <c r="L27" s="29">
        <v>17</v>
      </c>
      <c r="M27" s="29">
        <v>50</v>
      </c>
      <c r="N27" s="109">
        <f t="shared" si="4"/>
        <v>14333.333333333332</v>
      </c>
      <c r="O27" s="83">
        <f t="shared" si="4"/>
        <v>1.7283333333333335</v>
      </c>
      <c r="Q27" s="145" t="str">
        <f t="shared" si="5"/>
        <v>{{33, 17, 50}, 14333, 1,728}, /* Heat level 18 = 14333 Kcal/h */</v>
      </c>
      <c r="S27" s="30"/>
    </row>
    <row r="28" spans="2:19" x14ac:dyDescent="0.25">
      <c r="B28" s="120">
        <v>0.33333333333333331</v>
      </c>
      <c r="C28" s="120">
        <v>0.66666666666666663</v>
      </c>
      <c r="D28" s="120">
        <v>0</v>
      </c>
      <c r="E28" s="120">
        <v>1</v>
      </c>
      <c r="F28" s="109">
        <v>14666.666666666666</v>
      </c>
      <c r="G28" s="83">
        <v>1.77</v>
      </c>
      <c r="I28" s="180">
        <f t="shared" si="3"/>
        <v>100</v>
      </c>
      <c r="J28" s="180">
        <v>19</v>
      </c>
      <c r="K28" s="29">
        <v>0</v>
      </c>
      <c r="L28" s="29">
        <v>67</v>
      </c>
      <c r="M28" s="29">
        <v>33</v>
      </c>
      <c r="N28" s="109">
        <f t="shared" si="4"/>
        <v>14666.666666666666</v>
      </c>
      <c r="O28" s="83">
        <f t="shared" si="4"/>
        <v>1.77</v>
      </c>
      <c r="Q28" s="145" t="str">
        <f t="shared" si="5"/>
        <v>{{0, 67, 33}, 14667, 1,77}, /* Heat level 19 = 14667 Kcal/h */</v>
      </c>
      <c r="S28" s="30"/>
    </row>
    <row r="29" spans="2:19" x14ac:dyDescent="0.25">
      <c r="B29" s="120">
        <v>0.5</v>
      </c>
      <c r="C29" s="120">
        <v>0.33333333333333331</v>
      </c>
      <c r="D29" s="120">
        <v>0.16666666666666666</v>
      </c>
      <c r="E29" s="120">
        <v>1</v>
      </c>
      <c r="F29" s="109">
        <v>15166.666666666666</v>
      </c>
      <c r="G29" s="83">
        <v>1.8266666666666667</v>
      </c>
      <c r="I29" s="180">
        <f t="shared" si="3"/>
        <v>100</v>
      </c>
      <c r="J29" s="180">
        <v>20</v>
      </c>
      <c r="K29" s="29">
        <v>17</v>
      </c>
      <c r="L29" s="29">
        <v>33</v>
      </c>
      <c r="M29" s="29">
        <v>50</v>
      </c>
      <c r="N29" s="109">
        <f t="shared" si="4"/>
        <v>15166.666666666666</v>
      </c>
      <c r="O29" s="83">
        <f t="shared" si="4"/>
        <v>1.8266666666666667</v>
      </c>
      <c r="Q29" s="145" t="str">
        <f t="shared" si="5"/>
        <v>{{17, 33, 50}, 15167, 1,827}, /* Heat level 20 = 15167 Kcal/h */</v>
      </c>
      <c r="S29" s="30"/>
    </row>
    <row r="30" spans="2:19" x14ac:dyDescent="0.25">
      <c r="B30" s="120">
        <v>0.66666666666666663</v>
      </c>
      <c r="C30" s="120">
        <v>0</v>
      </c>
      <c r="D30" s="120">
        <v>0.33333333333333331</v>
      </c>
      <c r="E30" s="120">
        <v>1</v>
      </c>
      <c r="F30" s="109">
        <v>15666.666666666664</v>
      </c>
      <c r="G30" s="83">
        <v>1.8833333333333333</v>
      </c>
      <c r="I30" s="180">
        <f t="shared" si="3"/>
        <v>100</v>
      </c>
      <c r="J30" s="180">
        <v>21</v>
      </c>
      <c r="K30" s="29">
        <v>33</v>
      </c>
      <c r="L30" s="29">
        <v>0</v>
      </c>
      <c r="M30" s="29">
        <v>67</v>
      </c>
      <c r="N30" s="109">
        <f t="shared" si="4"/>
        <v>15666.666666666664</v>
      </c>
      <c r="O30" s="83">
        <f t="shared" si="4"/>
        <v>1.8833333333333333</v>
      </c>
      <c r="Q30" s="145" t="str">
        <f t="shared" si="5"/>
        <v>{{33, 0, 67}, 15667, 1,883}, /* Heat level 21 = 15667 Kcal/h */</v>
      </c>
      <c r="S30" s="30"/>
    </row>
    <row r="31" spans="2:19" x14ac:dyDescent="0.25">
      <c r="B31" s="120">
        <v>0.5</v>
      </c>
      <c r="C31" s="120">
        <v>0.5</v>
      </c>
      <c r="D31" s="120">
        <v>0</v>
      </c>
      <c r="E31" s="120">
        <v>1</v>
      </c>
      <c r="F31" s="109">
        <v>16000</v>
      </c>
      <c r="G31" s="83">
        <v>1.925</v>
      </c>
      <c r="I31" s="180">
        <f t="shared" si="3"/>
        <v>100</v>
      </c>
      <c r="J31" s="180">
        <v>22</v>
      </c>
      <c r="K31" s="29">
        <v>0</v>
      </c>
      <c r="L31" s="29">
        <v>50</v>
      </c>
      <c r="M31" s="29">
        <v>50</v>
      </c>
      <c r="N31" s="109">
        <f t="shared" si="4"/>
        <v>16000</v>
      </c>
      <c r="O31" s="83">
        <f t="shared" si="4"/>
        <v>1.925</v>
      </c>
      <c r="Q31" s="145" t="str">
        <f t="shared" si="5"/>
        <v>{{0, 50, 50}, 16000, 1,925}, /* Heat level 22 = 16000 Kcal/h */</v>
      </c>
      <c r="S31" s="30"/>
    </row>
    <row r="32" spans="2:19" x14ac:dyDescent="0.25">
      <c r="B32" s="120">
        <v>0.66666666666666663</v>
      </c>
      <c r="C32" s="120">
        <v>0.16666666666666666</v>
      </c>
      <c r="D32" s="120">
        <v>0.16666666666666666</v>
      </c>
      <c r="E32" s="120">
        <v>1</v>
      </c>
      <c r="F32" s="109">
        <v>16500</v>
      </c>
      <c r="G32" s="83">
        <v>1.9816666666666665</v>
      </c>
      <c r="I32" s="180">
        <f t="shared" si="3"/>
        <v>100</v>
      </c>
      <c r="J32" s="180">
        <v>23</v>
      </c>
      <c r="K32" s="29">
        <v>17</v>
      </c>
      <c r="L32" s="29">
        <v>17</v>
      </c>
      <c r="M32" s="29">
        <v>66</v>
      </c>
      <c r="N32" s="109">
        <f t="shared" si="4"/>
        <v>16500</v>
      </c>
      <c r="O32" s="83">
        <f t="shared" si="4"/>
        <v>1.9816666666666665</v>
      </c>
      <c r="Q32" s="145" t="str">
        <f t="shared" si="5"/>
        <v>{{17, 17, 66}, 16500, 1,982}, /* Heat level 23 = 16500 Kcal/h */</v>
      </c>
      <c r="S32" s="30"/>
    </row>
    <row r="33" spans="2:19" x14ac:dyDescent="0.25">
      <c r="B33" s="120">
        <v>0.66666666666666663</v>
      </c>
      <c r="C33" s="120">
        <v>0.33333333333333331</v>
      </c>
      <c r="D33" s="120">
        <v>0</v>
      </c>
      <c r="E33" s="120">
        <v>1</v>
      </c>
      <c r="F33" s="109">
        <v>17333.333333333332</v>
      </c>
      <c r="G33" s="83">
        <v>2.08</v>
      </c>
      <c r="I33" s="180">
        <f t="shared" si="3"/>
        <v>100</v>
      </c>
      <c r="J33" s="180">
        <v>24</v>
      </c>
      <c r="K33" s="29">
        <v>0</v>
      </c>
      <c r="L33" s="29">
        <v>33</v>
      </c>
      <c r="M33" s="29">
        <v>67</v>
      </c>
      <c r="N33" s="109">
        <f t="shared" si="4"/>
        <v>17333.333333333332</v>
      </c>
      <c r="O33" s="83">
        <f t="shared" si="4"/>
        <v>2.08</v>
      </c>
      <c r="Q33" s="145" t="str">
        <f t="shared" si="5"/>
        <v>{{0, 33, 67}, 17333, 2,08}, /* Heat level 24 = 17333 Kcal/h */</v>
      </c>
      <c r="S33" s="30"/>
    </row>
    <row r="34" spans="2:19" x14ac:dyDescent="0.25">
      <c r="B34" s="120">
        <v>0.83333333333333326</v>
      </c>
      <c r="C34" s="120">
        <v>0</v>
      </c>
      <c r="D34" s="120">
        <v>0.16666666666666666</v>
      </c>
      <c r="E34" s="120">
        <v>0.99999999999999989</v>
      </c>
      <c r="F34" s="109">
        <v>17833.333333333332</v>
      </c>
      <c r="G34" s="83">
        <v>2.1366666666666667</v>
      </c>
      <c r="I34" s="180">
        <f t="shared" si="3"/>
        <v>100</v>
      </c>
      <c r="J34" s="180">
        <v>25</v>
      </c>
      <c r="K34" s="29">
        <v>17</v>
      </c>
      <c r="L34" s="29">
        <v>0</v>
      </c>
      <c r="M34" s="29">
        <v>83</v>
      </c>
      <c r="N34" s="109">
        <f t="shared" si="4"/>
        <v>17833.333333333332</v>
      </c>
      <c r="O34" s="83">
        <f t="shared" si="4"/>
        <v>2.1366666666666667</v>
      </c>
      <c r="Q34" s="145" t="str">
        <f t="shared" si="5"/>
        <v>{{17, 0, 83}, 17833, 2,137}, /* Heat level 25 = 17833 Kcal/h */</v>
      </c>
      <c r="S34" s="30"/>
    </row>
    <row r="35" spans="2:19" x14ac:dyDescent="0.25">
      <c r="B35" s="120">
        <v>0.83333333333333326</v>
      </c>
      <c r="C35" s="120">
        <v>0.16666666666666666</v>
      </c>
      <c r="D35" s="120">
        <v>0</v>
      </c>
      <c r="E35" s="120">
        <v>0.99999999999999989</v>
      </c>
      <c r="F35" s="109">
        <v>18666.666666666664</v>
      </c>
      <c r="G35" s="83">
        <v>2.2349999999999999</v>
      </c>
      <c r="I35" s="180">
        <f t="shared" si="3"/>
        <v>100</v>
      </c>
      <c r="J35" s="180">
        <v>26</v>
      </c>
      <c r="K35" s="29">
        <v>0</v>
      </c>
      <c r="L35" s="29">
        <v>17</v>
      </c>
      <c r="M35" s="29">
        <v>83</v>
      </c>
      <c r="N35" s="109">
        <f t="shared" si="4"/>
        <v>18666.666666666664</v>
      </c>
      <c r="O35" s="83">
        <f t="shared" si="4"/>
        <v>2.2349999999999999</v>
      </c>
      <c r="Q35" s="145" t="str">
        <f t="shared" si="5"/>
        <v>{{0, 17, 83}, 18667, 2,235}, /* Heat level 26 = 18667 Kcal/h */</v>
      </c>
      <c r="S35" s="30"/>
    </row>
    <row r="36" spans="2:19" x14ac:dyDescent="0.25">
      <c r="B36" s="120">
        <v>0.99999999999999989</v>
      </c>
      <c r="C36" s="120">
        <v>0</v>
      </c>
      <c r="D36" s="120">
        <v>0</v>
      </c>
      <c r="E36" s="120">
        <v>0.99999999999999989</v>
      </c>
      <c r="F36" s="109">
        <v>19999.999999999996</v>
      </c>
      <c r="G36" s="83">
        <v>2.3899999999999997</v>
      </c>
      <c r="I36" s="180">
        <f t="shared" si="3"/>
        <v>100</v>
      </c>
      <c r="J36" s="180">
        <v>27</v>
      </c>
      <c r="K36" s="29">
        <v>0</v>
      </c>
      <c r="L36" s="29">
        <v>0</v>
      </c>
      <c r="M36" s="29">
        <v>100</v>
      </c>
      <c r="N36" s="109">
        <f t="shared" si="4"/>
        <v>19999.999999999996</v>
      </c>
      <c r="O36" s="83">
        <f t="shared" si="4"/>
        <v>2.3899999999999997</v>
      </c>
      <c r="Q36" s="145" t="str">
        <f t="shared" si="5"/>
        <v>{{0, 0, 100}, 20000, 2,39}, /* Heat level 27 = 20000 Kcal/h */</v>
      </c>
      <c r="S36" s="30"/>
    </row>
  </sheetData>
  <autoFilter ref="B8:G36" xr:uid="{A6538461-CD4E-4D6A-AEF9-8A63886576C9}"/>
  <phoneticPr fontId="10" type="noConversion"/>
  <conditionalFormatting sqref="K6">
    <cfRule type="cellIs" dxfId="2" priority="3" operator="equal">
      <formula>0</formula>
    </cfRule>
  </conditionalFormatting>
  <conditionalFormatting sqref="J6">
    <cfRule type="cellIs" dxfId="1" priority="2" operator="equal">
      <formula>0</formula>
    </cfRule>
  </conditionalFormatting>
  <conditionalFormatting sqref="F9:F3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B93A0-6A46-459E-B795-3760972F0F1F}">
  <dimension ref="A1:O20"/>
  <sheetViews>
    <sheetView workbookViewId="0">
      <selection activeCell="B12" sqref="B12"/>
    </sheetView>
  </sheetViews>
  <sheetFormatPr defaultRowHeight="15" x14ac:dyDescent="0.25"/>
  <sheetData>
    <row r="1" spans="1:15" ht="15.75" thickBot="1" x14ac:dyDescent="0.3">
      <c r="A1" s="150" t="s">
        <v>66</v>
      </c>
      <c r="B1" s="158">
        <v>10</v>
      </c>
      <c r="C1" s="145"/>
      <c r="D1" s="157" t="s">
        <v>67</v>
      </c>
      <c r="E1" s="158">
        <v>1024</v>
      </c>
      <c r="F1" s="145"/>
      <c r="G1" s="145"/>
      <c r="H1" s="145"/>
      <c r="I1" s="145"/>
      <c r="J1" s="145"/>
      <c r="K1" s="145"/>
      <c r="L1" s="145"/>
      <c r="M1" s="145"/>
      <c r="N1" s="144"/>
      <c r="O1" s="144"/>
    </row>
    <row r="2" spans="1:15" x14ac:dyDescent="0.25">
      <c r="A2" s="144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</row>
    <row r="3" spans="1:15" x14ac:dyDescent="0.25">
      <c r="A3" s="144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</row>
    <row r="4" spans="1:15" ht="15.75" thickBot="1" x14ac:dyDescent="0.3">
      <c r="A4" s="145"/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4"/>
      <c r="O4" s="144"/>
    </row>
    <row r="5" spans="1:15" x14ac:dyDescent="0.25">
      <c r="A5" s="154" t="s">
        <v>68</v>
      </c>
      <c r="B5" s="151">
        <v>-40</v>
      </c>
      <c r="C5" s="146">
        <v>-30</v>
      </c>
      <c r="D5" s="146">
        <v>-20</v>
      </c>
      <c r="E5" s="146">
        <v>-10</v>
      </c>
      <c r="F5" s="146">
        <v>0</v>
      </c>
      <c r="G5" s="146">
        <v>10</v>
      </c>
      <c r="H5" s="146">
        <v>20</v>
      </c>
      <c r="I5" s="146">
        <v>30</v>
      </c>
      <c r="J5" s="146">
        <v>40</v>
      </c>
      <c r="K5" s="146">
        <v>50</v>
      </c>
      <c r="L5" s="146">
        <v>60</v>
      </c>
      <c r="M5" s="147">
        <v>70</v>
      </c>
      <c r="N5" s="144"/>
      <c r="O5" s="144"/>
    </row>
    <row r="6" spans="1:15" x14ac:dyDescent="0.25">
      <c r="A6" s="155" t="s">
        <v>69</v>
      </c>
      <c r="B6" s="152">
        <v>188.5</v>
      </c>
      <c r="C6" s="148">
        <v>111.3</v>
      </c>
      <c r="D6" s="148">
        <v>67.77</v>
      </c>
      <c r="E6" s="148">
        <v>42.47</v>
      </c>
      <c r="F6" s="148">
        <v>27.28</v>
      </c>
      <c r="G6" s="148">
        <v>17.96</v>
      </c>
      <c r="H6" s="148">
        <v>12.09</v>
      </c>
      <c r="I6" s="148">
        <v>8.3130000000000006</v>
      </c>
      <c r="J6" s="148">
        <v>5.827</v>
      </c>
      <c r="K6" s="148">
        <v>4.16</v>
      </c>
      <c r="L6" s="148">
        <v>3.02</v>
      </c>
      <c r="M6" s="149">
        <v>2.2280000000000002</v>
      </c>
      <c r="N6" s="144"/>
      <c r="O6" s="144"/>
    </row>
    <row r="7" spans="1:15" ht="15.75" thickBot="1" x14ac:dyDescent="0.3">
      <c r="A7" s="156" t="s">
        <v>13</v>
      </c>
      <c r="B7" s="153">
        <f>INT($E1*B6/(B6+$B1))</f>
        <v>972</v>
      </c>
      <c r="C7" s="153">
        <f t="shared" ref="C7:M7" si="0">INT($E1*C6/(C6+$B1))</f>
        <v>939</v>
      </c>
      <c r="D7" s="153">
        <f t="shared" si="0"/>
        <v>892</v>
      </c>
      <c r="E7" s="153">
        <f t="shared" si="0"/>
        <v>828</v>
      </c>
      <c r="F7" s="153">
        <f t="shared" si="0"/>
        <v>749</v>
      </c>
      <c r="G7" s="153">
        <f t="shared" si="0"/>
        <v>657</v>
      </c>
      <c r="H7" s="153">
        <f t="shared" si="0"/>
        <v>560</v>
      </c>
      <c r="I7" s="153">
        <f t="shared" si="0"/>
        <v>464</v>
      </c>
      <c r="J7" s="153">
        <f t="shared" si="0"/>
        <v>377</v>
      </c>
      <c r="K7" s="153">
        <f t="shared" si="0"/>
        <v>300</v>
      </c>
      <c r="L7" s="153">
        <f t="shared" si="0"/>
        <v>237</v>
      </c>
      <c r="M7" s="153">
        <f t="shared" si="0"/>
        <v>186</v>
      </c>
      <c r="N7" s="144"/>
      <c r="O7" s="144"/>
    </row>
    <row r="8" spans="1:15" x14ac:dyDescent="0.25">
      <c r="A8" s="144"/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</row>
    <row r="9" spans="1:15" x14ac:dyDescent="0.25">
      <c r="A9" s="144"/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</row>
    <row r="10" spans="1:15" ht="15.75" thickBot="1" x14ac:dyDescent="0.3">
      <c r="A10" s="30" t="s">
        <v>70</v>
      </c>
      <c r="B10" s="145"/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4"/>
      <c r="O10" s="144"/>
    </row>
    <row r="11" spans="1:15" x14ac:dyDescent="0.25">
      <c r="A11" s="154" t="s">
        <v>68</v>
      </c>
      <c r="B11" s="146">
        <v>-20</v>
      </c>
      <c r="C11" s="146">
        <v>-10</v>
      </c>
      <c r="D11" s="146">
        <v>0</v>
      </c>
      <c r="E11" s="146">
        <v>10</v>
      </c>
      <c r="F11" s="146">
        <v>20</v>
      </c>
      <c r="G11" s="146">
        <v>30</v>
      </c>
      <c r="H11" s="146">
        <v>40</v>
      </c>
      <c r="I11" s="146">
        <v>50</v>
      </c>
      <c r="J11" s="146">
        <v>60</v>
      </c>
      <c r="K11" s="146">
        <v>70</v>
      </c>
      <c r="L11" s="146">
        <v>80</v>
      </c>
      <c r="M11" s="147">
        <v>90</v>
      </c>
      <c r="N11" s="144"/>
      <c r="O11" s="144"/>
    </row>
    <row r="12" spans="1:15" x14ac:dyDescent="0.25">
      <c r="A12" s="155" t="s">
        <v>69</v>
      </c>
      <c r="B12" s="159">
        <v>98.66</v>
      </c>
      <c r="C12" s="159">
        <v>56.25</v>
      </c>
      <c r="D12" s="159">
        <v>33.21</v>
      </c>
      <c r="E12" s="159">
        <v>20.239999999999998</v>
      </c>
      <c r="F12" s="159">
        <v>12.71</v>
      </c>
      <c r="G12" s="159">
        <v>8.1940000000000008</v>
      </c>
      <c r="H12" s="159">
        <v>5.4160000000000004</v>
      </c>
      <c r="I12" s="159">
        <v>3.6629999999999998</v>
      </c>
      <c r="J12" s="159">
        <v>2.5299999999999998</v>
      </c>
      <c r="K12" s="159">
        <v>1.782</v>
      </c>
      <c r="L12" s="159">
        <v>1.278</v>
      </c>
      <c r="M12" s="160">
        <v>0.93159999999999998</v>
      </c>
      <c r="N12" s="144"/>
      <c r="O12" s="144"/>
    </row>
    <row r="13" spans="1:15" ht="15.75" thickBot="1" x14ac:dyDescent="0.3">
      <c r="A13" s="156" t="s">
        <v>13</v>
      </c>
      <c r="B13" s="161">
        <f>INT($E1*B12/(B12+$B1))</f>
        <v>929</v>
      </c>
      <c r="C13" s="161">
        <f t="shared" ref="C13:M13" si="1">INT($E1*C12/(C12+$B1))</f>
        <v>869</v>
      </c>
      <c r="D13" s="162">
        <f t="shared" si="1"/>
        <v>787</v>
      </c>
      <c r="E13" s="161">
        <f t="shared" si="1"/>
        <v>685</v>
      </c>
      <c r="F13" s="161">
        <f t="shared" si="1"/>
        <v>573</v>
      </c>
      <c r="G13" s="161">
        <f t="shared" si="1"/>
        <v>461</v>
      </c>
      <c r="H13" s="161">
        <f t="shared" si="1"/>
        <v>359</v>
      </c>
      <c r="I13" s="161">
        <f t="shared" si="1"/>
        <v>274</v>
      </c>
      <c r="J13" s="161">
        <f t="shared" si="1"/>
        <v>206</v>
      </c>
      <c r="K13" s="161">
        <f t="shared" si="1"/>
        <v>154</v>
      </c>
      <c r="L13" s="161">
        <f t="shared" si="1"/>
        <v>116</v>
      </c>
      <c r="M13" s="161">
        <f t="shared" si="1"/>
        <v>87</v>
      </c>
      <c r="N13" s="144"/>
      <c r="O13" s="144"/>
    </row>
    <row r="14" spans="1:15" x14ac:dyDescent="0.25">
      <c r="A14" s="144"/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</row>
    <row r="18" spans="8:9" x14ac:dyDescent="0.25">
      <c r="H18" t="s">
        <v>71</v>
      </c>
    </row>
    <row r="19" spans="8:9" x14ac:dyDescent="0.25">
      <c r="H19" t="s">
        <v>13</v>
      </c>
      <c r="I19">
        <v>549</v>
      </c>
    </row>
    <row r="20" spans="8:9" x14ac:dyDescent="0.25">
      <c r="H20" t="s">
        <v>49</v>
      </c>
      <c r="I20">
        <v>121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T7335D Datasheet</vt:lpstr>
      <vt:lpstr>Test Sep 30</vt:lpstr>
      <vt:lpstr>Roca Repair Manual</vt:lpstr>
      <vt:lpstr>CH Test Setup</vt:lpstr>
      <vt:lpstr>DHW Test Setup</vt:lpstr>
      <vt:lpstr>Detail</vt:lpstr>
      <vt:lpstr>Power combinations</vt:lpstr>
      <vt:lpstr>Heat Levels</vt:lpstr>
      <vt:lpstr>NTC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Casanova</dc:creator>
  <cp:lastModifiedBy>Gustavo</cp:lastModifiedBy>
  <dcterms:created xsi:type="dcterms:W3CDTF">2015-06-05T18:17:20Z</dcterms:created>
  <dcterms:modified xsi:type="dcterms:W3CDTF">2019-10-27T23:56:51Z</dcterms:modified>
</cp:coreProperties>
</file>