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ffittacamere" sheetId="1" r:id="rId3"/>
    <sheet state="visible" name="Agriturismo" sheetId="2" r:id="rId4"/>
    <sheet state="visible" name="Albergo" sheetId="3" r:id="rId5"/>
    <sheet state="visible" name="B&amp;B" sheetId="4" r:id="rId6"/>
    <sheet state="visible" name="CasaVacanze" sheetId="5" r:id="rId7"/>
    <sheet state="visible" name="Varie" sheetId="6" r:id="rId8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>
        <f>IFERROR(__xludf.DUMMYFUNCTION("IMPORTDATA(""https://spreadsheets.google.com/tq?tqx=out:csv&amp;tq=select%20A,B,C,D,E,F,G,H,J,K,I,L,N,O%20&amp;key=1nSr-xXp7oHEWkKvvS3_keRN4yU4g_tcRQYlHiJUztpE&amp;gid=69830611"")"),1.0)</f>
        <v>1</v>
      </c>
      <c r="B1" t="str">
        <f>IFERROR(__xludf.DUMMYFUNCTION("""COMPUTED_VALUE"""),"LAT")</f>
        <v>LAT</v>
      </c>
      <c r="C1" t="str">
        <f>IFERROR(__xludf.DUMMYFUNCTION("""COMPUTED_VALUE"""),"LON")</f>
        <v>LON</v>
      </c>
      <c r="D1" t="str">
        <f>IFERROR(__xludf.DUMMYFUNCTION("""COMPUTED_VALUE"""),"TIPOLOGIA")</f>
        <v>TIPOLOGIA</v>
      </c>
      <c r="E1" t="str">
        <f>IFERROR(__xludf.DUMMYFUNCTION("""COMPUTED_VALUE"""),"name")</f>
        <v>name</v>
      </c>
      <c r="F1" t="str">
        <f>IFERROR(__xludf.DUMMYFUNCTION("""COMPUTED_VALUE"""),"LEGALE_RA")</f>
        <v>LEGALE_RA</v>
      </c>
      <c r="G1" t="str">
        <f>IFERROR(__xludf.DUMMYFUNCTION("""COMPUTED_VALUE"""),"UBICAZIONE")</f>
        <v>UBICAZIONE</v>
      </c>
      <c r="H1" t="str">
        <f>IFERROR(__xludf.DUMMYFUNCTION("""COMPUTED_VALUE"""),"City")</f>
        <v>City</v>
      </c>
      <c r="I1" t="str">
        <f>IFERROR(__xludf.DUMMYFUNCTION("""COMPUTED_VALUE"""),"")</f>
        <v/>
      </c>
      <c r="J1" t="str">
        <f>IFERROR(__xludf.DUMMYFUNCTION("""COMPUTED_VALUE"""),"")</f>
        <v/>
      </c>
      <c r="K1" t="str">
        <f>IFERROR(__xludf.DUMMYFUNCTION("""COMPUTED_VALUE"""),"Country")</f>
        <v>Country</v>
      </c>
      <c r="L1" t="str">
        <f>IFERROR(__xludf.DUMMYFUNCTION("""COMPUTED_VALUE"""),"")</f>
        <v/>
      </c>
      <c r="M1" t="str">
        <f>IFERROR(__xludf.DUMMYFUNCTION("""COMPUTED_VALUE"""),"")</f>
        <v/>
      </c>
      <c r="N1" t="str">
        <f>IFERROR(__xludf.DUMMYFUNCTION("""COMPUTED_VALUE"""),"")</f>
        <v/>
      </c>
    </row>
    <row r="2">
      <c r="A2">
        <f>IFERROR(__xludf.DUMMYFUNCTION("""COMPUTED_VALUE"""),437.0)</f>
        <v>437</v>
      </c>
      <c r="B2">
        <f>IFERROR(__xludf.DUMMYFUNCTION("""COMPUTED_VALUE"""),40.6651153)</f>
        <v>40.6651153</v>
      </c>
      <c r="C2">
        <f>IFERROR(__xludf.DUMMYFUNCTION("""COMPUTED_VALUE"""),16.6032909)</f>
        <v>16.6032909</v>
      </c>
      <c r="D2" t="str">
        <f>IFERROR(__xludf.DUMMYFUNCTION("""COMPUTED_VALUE"""),"Affittacamere")</f>
        <v>Affittacamere</v>
      </c>
      <c r="E2" t="str">
        <f>IFERROR(__xludf.DUMMYFUNCTION("""COMPUTED_VALUE"""),"AFFARE FATTO  SRLS")</f>
        <v>AFFARE FATTO  SRLS</v>
      </c>
      <c r="F2" t="str">
        <f>IFERROR(__xludf.DUMMYFUNCTION("""COMPUTED_VALUE"""),"ANDRISANI FRANCESCO SAVERIO")</f>
        <v>ANDRISANI FRANCESCO SAVERIO</v>
      </c>
      <c r="G2" t="str">
        <f>IFERROR(__xludf.DUMMYFUNCTION("""COMPUTED_VALUE"""),"LARGO PASSARELLI 9")</f>
        <v>LARGO PASSARELLI 9</v>
      </c>
      <c r="H2" t="str">
        <f>IFERROR(__xludf.DUMMYFUNCTION("""COMPUTED_VALUE"""),"Matera")</f>
        <v>Matera</v>
      </c>
      <c r="I2">
        <f>IFERROR(__xludf.DUMMYFUNCTION("""COMPUTED_VALUE"""),71.0)</f>
        <v>71</v>
      </c>
      <c r="J2">
        <f>IFERROR(__xludf.DUMMYFUNCTION("""COMPUTED_VALUE"""),350.0)</f>
        <v>350</v>
      </c>
      <c r="K2" t="str">
        <f>IFERROR(__xludf.DUMMYFUNCTION("""COMPUTED_VALUE"""),"Italy")</f>
        <v>Italy</v>
      </c>
      <c r="L2">
        <f>IFERROR(__xludf.DUMMYFUNCTION("""COMPUTED_VALUE"""),7.0)</f>
        <v>7</v>
      </c>
      <c r="M2">
        <f>IFERROR(__xludf.DUMMYFUNCTION("""COMPUTED_VALUE"""),13.0)</f>
        <v>13</v>
      </c>
      <c r="N2">
        <f>IFERROR(__xludf.DUMMYFUNCTION("""COMPUTED_VALUE"""),42590.0)</f>
        <v>42590</v>
      </c>
    </row>
    <row r="3">
      <c r="A3">
        <f>IFERROR(__xludf.DUMMYFUNCTION("""COMPUTED_VALUE"""),438.0)</f>
        <v>438</v>
      </c>
      <c r="B3">
        <f>IFERROR(__xludf.DUMMYFUNCTION("""COMPUTED_VALUE"""),40.6657213)</f>
        <v>40.6657213</v>
      </c>
      <c r="C3">
        <f>IFERROR(__xludf.DUMMYFUNCTION("""COMPUTED_VALUE"""),16.6096428)</f>
        <v>16.6096428</v>
      </c>
      <c r="D3" t="str">
        <f>IFERROR(__xludf.DUMMYFUNCTION("""COMPUTED_VALUE"""),"Affittacamere")</f>
        <v>Affittacamere</v>
      </c>
      <c r="E3" t="str">
        <f>IFERROR(__xludf.DUMMYFUNCTION("""COMPUTED_VALUE"""),"AFFITTACAMERE CLAUDIA SCARCIOLLA")</f>
        <v>AFFITTACAMERE CLAUDIA SCARCIOLLA</v>
      </c>
      <c r="F3" t="str">
        <f>IFERROR(__xludf.DUMMYFUNCTION("""COMPUTED_VALUE"""),"CLAUDIA SCARCIOLLA")</f>
        <v>CLAUDIA SCARCIOLLA</v>
      </c>
      <c r="G3" t="str">
        <f>IFERROR(__xludf.DUMMYFUNCTION("""COMPUTED_VALUE"""),"RECINTO DEL SEDILE 7")</f>
        <v>RECINTO DEL SEDILE 7</v>
      </c>
      <c r="H3" t="str">
        <f>IFERROR(__xludf.DUMMYFUNCTION("""COMPUTED_VALUE"""),"Matera")</f>
        <v>Matera</v>
      </c>
      <c r="I3">
        <f>IFERROR(__xludf.DUMMYFUNCTION("""COMPUTED_VALUE"""),159.0)</f>
        <v>159</v>
      </c>
      <c r="J3">
        <f>IFERROR(__xludf.DUMMYFUNCTION("""COMPUTED_VALUE"""),3146.0)</f>
        <v>3146</v>
      </c>
      <c r="K3" t="str">
        <f>IFERROR(__xludf.DUMMYFUNCTION("""COMPUTED_VALUE"""),"Italy")</f>
        <v>Italy</v>
      </c>
      <c r="L3">
        <f>IFERROR(__xludf.DUMMYFUNCTION("""COMPUTED_VALUE"""),12.0)</f>
        <v>12</v>
      </c>
      <c r="M3">
        <f>IFERROR(__xludf.DUMMYFUNCTION("""COMPUTED_VALUE"""),7.0)</f>
        <v>7</v>
      </c>
      <c r="N3">
        <f>IFERROR(__xludf.DUMMYFUNCTION("""COMPUTED_VALUE"""),42607.0)</f>
        <v>42607</v>
      </c>
    </row>
    <row r="4">
      <c r="A4">
        <f>IFERROR(__xludf.DUMMYFUNCTION("""COMPUTED_VALUE"""),439.0)</f>
        <v>439</v>
      </c>
      <c r="B4">
        <f>IFERROR(__xludf.DUMMYFUNCTION("""COMPUTED_VALUE"""),40.660749)</f>
        <v>40.660749</v>
      </c>
      <c r="C4">
        <f>IFERROR(__xludf.DUMMYFUNCTION("""COMPUTED_VALUE"""),16.6117251)</f>
        <v>16.6117251</v>
      </c>
      <c r="D4" t="str">
        <f>IFERROR(__xludf.DUMMYFUNCTION("""COMPUTED_VALUE"""),"Affittacamere")</f>
        <v>Affittacamere</v>
      </c>
      <c r="E4" t="str">
        <f>IFERROR(__xludf.DUMMYFUNCTION("""COMPUTED_VALUE"""),"AFFITTACAMERE VISTA SUI SASSI")</f>
        <v>AFFITTACAMERE VISTA SUI SASSI</v>
      </c>
      <c r="F4" t="str">
        <f>IFERROR(__xludf.DUMMYFUNCTION("""COMPUTED_VALUE"""),"GRAZIANO ANNUNZIATA")</f>
        <v>GRAZIANO ANNUNZIATA</v>
      </c>
      <c r="G4" t="str">
        <f>IFERROR(__xludf.DUMMYFUNCTION("""COMPUTED_VALUE"""),"VIA LUCANA 229")</f>
        <v>VIA LUCANA 229</v>
      </c>
      <c r="H4" t="str">
        <f>IFERROR(__xludf.DUMMYFUNCTION("""COMPUTED_VALUE"""),"Matera")</f>
        <v>Matera</v>
      </c>
      <c r="I4">
        <f>IFERROR(__xludf.DUMMYFUNCTION("""COMPUTED_VALUE"""),159.0)</f>
        <v>159</v>
      </c>
      <c r="J4">
        <f>IFERROR(__xludf.DUMMYFUNCTION("""COMPUTED_VALUE"""),3428.0)</f>
        <v>3428</v>
      </c>
      <c r="K4" t="str">
        <f>IFERROR(__xludf.DUMMYFUNCTION("""COMPUTED_VALUE"""),"Italy")</f>
        <v>Italy</v>
      </c>
      <c r="L4" t="str">
        <f>IFERROR(__xludf.DUMMYFUNCTION("""COMPUTED_VALUE"""),"")</f>
        <v/>
      </c>
      <c r="M4">
        <f>IFERROR(__xludf.DUMMYFUNCTION("""COMPUTED_VALUE"""),8.0)</f>
        <v>8</v>
      </c>
      <c r="N4">
        <f>IFERROR(__xludf.DUMMYFUNCTION("""COMPUTED_VALUE"""),42722.0)</f>
        <v>42722</v>
      </c>
    </row>
    <row r="5">
      <c r="A5">
        <f>IFERROR(__xludf.DUMMYFUNCTION("""COMPUTED_VALUE"""),441.0)</f>
        <v>441</v>
      </c>
      <c r="B5">
        <f>IFERROR(__xludf.DUMMYFUNCTION("""COMPUTED_VALUE"""),40.6669103)</f>
        <v>40.6669103</v>
      </c>
      <c r="C5">
        <f>IFERROR(__xludf.DUMMYFUNCTION("""COMPUTED_VALUE"""),16.6109091)</f>
        <v>16.6109091</v>
      </c>
      <c r="D5" t="str">
        <f>IFERROR(__xludf.DUMMYFUNCTION("""COMPUTED_VALUE"""),"Affittacamere")</f>
        <v>Affittacamere</v>
      </c>
      <c r="E5" t="str">
        <f>IFERROR(__xludf.DUMMYFUNCTION("""COMPUTED_VALUE"""),"ALL'ANNUNZIATA VECCHIA")</f>
        <v>ALL'ANNUNZIATA VECCHIA</v>
      </c>
      <c r="F5" t="str">
        <f>IFERROR(__xludf.DUMMYFUNCTION("""COMPUTED_VALUE"""),"BIANCHI SALVATORE")</f>
        <v>BIANCHI SALVATORE</v>
      </c>
      <c r="G5" t="str">
        <f>IFERROR(__xludf.DUMMYFUNCTION("""COMPUTED_VALUE"""),"Recinto Annunziata Vecchia 13")</f>
        <v>Recinto Annunziata Vecchia 13</v>
      </c>
      <c r="H5" t="str">
        <f>IFERROR(__xludf.DUMMYFUNCTION("""COMPUTED_VALUE"""),"Matera")</f>
        <v>Matera</v>
      </c>
      <c r="I5">
        <f>IFERROR(__xludf.DUMMYFUNCTION("""COMPUTED_VALUE"""),159.0)</f>
        <v>159</v>
      </c>
      <c r="J5">
        <f>IFERROR(__xludf.DUMMYFUNCTION("""COMPUTED_VALUE"""),1123.0)</f>
        <v>1123</v>
      </c>
      <c r="K5" t="str">
        <f>IFERROR(__xludf.DUMMYFUNCTION("""COMPUTED_VALUE"""),"Italy")</f>
        <v>Italy</v>
      </c>
      <c r="L5">
        <f>IFERROR(__xludf.DUMMYFUNCTION("""COMPUTED_VALUE"""),1.0)</f>
        <v>1</v>
      </c>
      <c r="M5">
        <f>IFERROR(__xludf.DUMMYFUNCTION("""COMPUTED_VALUE"""),9.0)</f>
        <v>9</v>
      </c>
      <c r="N5">
        <f>IFERROR(__xludf.DUMMYFUNCTION("""COMPUTED_VALUE"""),41264.0)</f>
        <v>41264</v>
      </c>
    </row>
    <row r="6">
      <c r="A6">
        <f>IFERROR(__xludf.DUMMYFUNCTION("""COMPUTED_VALUE"""),442.0)</f>
        <v>442</v>
      </c>
      <c r="B6">
        <f>IFERROR(__xludf.DUMMYFUNCTION("""COMPUTED_VALUE"""),40.6669499)</f>
        <v>40.6669499</v>
      </c>
      <c r="C6">
        <f>IFERROR(__xludf.DUMMYFUNCTION("""COMPUTED_VALUE"""),16.6101862)</f>
        <v>16.6101862</v>
      </c>
      <c r="D6" t="str">
        <f>IFERROR(__xludf.DUMMYFUNCTION("""COMPUTED_VALUE"""),"Affittacamere")</f>
        <v>Affittacamere</v>
      </c>
      <c r="E6" t="str">
        <f>IFERROR(__xludf.DUMMYFUNCTION("""COMPUTED_VALUE"""),"ALLE CONCHE")</f>
        <v>ALLE CONCHE</v>
      </c>
      <c r="F6" t="str">
        <f>IFERROR(__xludf.DUMMYFUNCTION("""COMPUTED_VALUE"""),"TINA RONDINONE")</f>
        <v>TINA RONDINONE</v>
      </c>
      <c r="G6" t="str">
        <f>IFERROR(__xludf.DUMMYFUNCTION("""COMPUTED_VALUE"""),"via sette dolori 24-25")</f>
        <v>via sette dolori 24-25</v>
      </c>
      <c r="H6" t="str">
        <f>IFERROR(__xludf.DUMMYFUNCTION("""COMPUTED_VALUE"""),"Matera")</f>
        <v>Matera</v>
      </c>
      <c r="I6">
        <f>IFERROR(__xludf.DUMMYFUNCTION("""COMPUTED_VALUE"""),159.0)</f>
        <v>159</v>
      </c>
      <c r="J6">
        <f>IFERROR(__xludf.DUMMYFUNCTION("""COMPUTED_VALUE"""),885.0)</f>
        <v>885</v>
      </c>
      <c r="K6" t="str">
        <f>IFERROR(__xludf.DUMMYFUNCTION("""COMPUTED_VALUE"""),"Italy")</f>
        <v>Italy</v>
      </c>
      <c r="L6">
        <f>IFERROR(__xludf.DUMMYFUNCTION("""COMPUTED_VALUE"""),2.0)</f>
        <v>2</v>
      </c>
      <c r="M6">
        <f>IFERROR(__xludf.DUMMYFUNCTION("""COMPUTED_VALUE"""),9.0)</f>
        <v>9</v>
      </c>
      <c r="N6">
        <f>IFERROR(__xludf.DUMMYFUNCTION("""COMPUTED_VALUE"""),42149.0)</f>
        <v>42149</v>
      </c>
    </row>
    <row r="7">
      <c r="A7">
        <f>IFERROR(__xludf.DUMMYFUNCTION("""COMPUTED_VALUE"""),443.0)</f>
        <v>443</v>
      </c>
      <c r="B7">
        <f>IFERROR(__xludf.DUMMYFUNCTION("""COMPUTED_VALUE"""),40.663345)</f>
        <v>40.663345</v>
      </c>
      <c r="C7">
        <f>IFERROR(__xludf.DUMMYFUNCTION("""COMPUTED_VALUE"""),16.611591)</f>
        <v>16.611591</v>
      </c>
      <c r="D7" t="str">
        <f>IFERROR(__xludf.DUMMYFUNCTION("""COMPUTED_VALUE"""),"Affittacamere")</f>
        <v>Affittacamere</v>
      </c>
      <c r="E7" t="str">
        <f>IFERROR(__xludf.DUMMYFUNCTION("""COMPUTED_VALUE"""),"HOTEL LE MALVE SRL")</f>
        <v>HOTEL LE MALVE SRL</v>
      </c>
      <c r="F7" t="str">
        <f>IFERROR(__xludf.DUMMYFUNCTION("""COMPUTED_VALUE"""),"GIANVITO PLASMATI")</f>
        <v>GIANVITO PLASMATI</v>
      </c>
      <c r="G7" t="str">
        <f>IFERROR(__xludf.DUMMYFUNCTION("""COMPUTED_VALUE"""),"VIA B. BUOZZI 102")</f>
        <v>VIA B. BUOZZI 102</v>
      </c>
      <c r="H7" t="str">
        <f>IFERROR(__xludf.DUMMYFUNCTION("""COMPUTED_VALUE"""),"Matera")</f>
        <v>Matera</v>
      </c>
      <c r="I7">
        <f>IFERROR(__xludf.DUMMYFUNCTION("""COMPUTED_VALUE"""),159.0)</f>
        <v>159</v>
      </c>
      <c r="J7">
        <f>IFERROR(__xludf.DUMMYFUNCTION("""COMPUTED_VALUE"""),2186.0)</f>
        <v>2186</v>
      </c>
      <c r="K7" t="str">
        <f>IFERROR(__xludf.DUMMYFUNCTION("""COMPUTED_VALUE"""),"Italy")</f>
        <v>Italy</v>
      </c>
      <c r="L7">
        <f>IFERROR(__xludf.DUMMYFUNCTION("""COMPUTED_VALUE"""),4.0)</f>
        <v>4</v>
      </c>
      <c r="M7">
        <f>IFERROR(__xludf.DUMMYFUNCTION("""COMPUTED_VALUE"""),13.0)</f>
        <v>13</v>
      </c>
      <c r="N7">
        <f>IFERROR(__xludf.DUMMYFUNCTION("""COMPUTED_VALUE"""),43112.0)</f>
        <v>43112</v>
      </c>
    </row>
    <row r="8">
      <c r="A8">
        <f>IFERROR(__xludf.DUMMYFUNCTION("""COMPUTED_VALUE"""),444.0)</f>
        <v>444</v>
      </c>
      <c r="B8">
        <f>IFERROR(__xludf.DUMMYFUNCTION("""COMPUTED_VALUE"""),40.6759633)</f>
        <v>40.6759633</v>
      </c>
      <c r="C8">
        <f>IFERROR(__xludf.DUMMYFUNCTION("""COMPUTED_VALUE"""),16.5975854)</f>
        <v>16.5975854</v>
      </c>
      <c r="D8" t="str">
        <f>IFERROR(__xludf.DUMMYFUNCTION("""COMPUTED_VALUE"""),"Affittacamere")</f>
        <v>Affittacamere</v>
      </c>
      <c r="E8" t="str">
        <f>IFERROR(__xludf.DUMMYFUNCTION("""COMPUTED_VALUE"""),"ANTICA MATEOLA")</f>
        <v>ANTICA MATEOLA</v>
      </c>
      <c r="F8" t="str">
        <f>IFERROR(__xludf.DUMMYFUNCTION("""COMPUTED_VALUE"""),"LORE' snc")</f>
        <v>LORE' snc</v>
      </c>
      <c r="G8" t="str">
        <f>IFERROR(__xludf.DUMMYFUNCTION("""COMPUTED_VALUE"""),"VIA SALVEMINI 24")</f>
        <v>VIA SALVEMINI 24</v>
      </c>
      <c r="H8" t="str">
        <f>IFERROR(__xludf.DUMMYFUNCTION("""COMPUTED_VALUE"""),"Matera")</f>
        <v>Matera</v>
      </c>
      <c r="I8">
        <f>IFERROR(__xludf.DUMMYFUNCTION("""COMPUTED_VALUE"""),159.0)</f>
        <v>159</v>
      </c>
      <c r="J8">
        <f>IFERROR(__xludf.DUMMYFUNCTION("""COMPUTED_VALUE"""),4661.0)</f>
        <v>4661</v>
      </c>
      <c r="K8" t="str">
        <f>IFERROR(__xludf.DUMMYFUNCTION("""COMPUTED_VALUE"""),"Italy")</f>
        <v>Italy</v>
      </c>
      <c r="L8">
        <f>IFERROR(__xludf.DUMMYFUNCTION("""COMPUTED_VALUE"""),11.0)</f>
        <v>11</v>
      </c>
      <c r="M8">
        <f>IFERROR(__xludf.DUMMYFUNCTION("""COMPUTED_VALUE"""),10.0)</f>
        <v>10</v>
      </c>
      <c r="N8">
        <f>IFERROR(__xludf.DUMMYFUNCTION("""COMPUTED_VALUE"""),42492.0)</f>
        <v>42492</v>
      </c>
    </row>
    <row r="9">
      <c r="A9">
        <f>IFERROR(__xludf.DUMMYFUNCTION("""COMPUTED_VALUE"""),445.0)</f>
        <v>445</v>
      </c>
      <c r="B9">
        <f>IFERROR(__xludf.DUMMYFUNCTION("""COMPUTED_VALUE"""),40.666379)</f>
        <v>40.666379</v>
      </c>
      <c r="C9">
        <f>IFERROR(__xludf.DUMMYFUNCTION("""COMPUTED_VALUE"""),16.6043199)</f>
        <v>16.6043199</v>
      </c>
      <c r="D9" t="str">
        <f>IFERROR(__xludf.DUMMYFUNCTION("""COMPUTED_VALUE"""),"Affittacamere")</f>
        <v>Affittacamere</v>
      </c>
      <c r="E9" t="str">
        <f>IFERROR(__xludf.DUMMYFUNCTION("""COMPUTED_VALUE"""),"CANARIO SOGGIORNI CON STILE")</f>
        <v>CANARIO SOGGIORNI CON STILE</v>
      </c>
      <c r="F9" t="str">
        <f>IFERROR(__xludf.DUMMYFUNCTION("""COMPUTED_VALUE"""),"CENTRO ARREDI F.LLI CANARIO DI PIERANGELO CANARIO")</f>
        <v>CENTRO ARREDI F.LLI CANARIO DI PIERANGELO CANARIO</v>
      </c>
      <c r="G9" t="str">
        <f>IFERROR(__xludf.DUMMYFUNCTION("""COMPUTED_VALUE"""),"VIA EMILIO SALGARI 7")</f>
        <v>VIA EMILIO SALGARI 7</v>
      </c>
      <c r="H9" t="str">
        <f>IFERROR(__xludf.DUMMYFUNCTION("""COMPUTED_VALUE"""),"Matera")</f>
        <v>Matera</v>
      </c>
      <c r="I9">
        <f>IFERROR(__xludf.DUMMYFUNCTION("""COMPUTED_VALUE"""),71.0)</f>
        <v>71</v>
      </c>
      <c r="J9">
        <f>IFERROR(__xludf.DUMMYFUNCTION("""COMPUTED_VALUE"""),1162.0)</f>
        <v>1162</v>
      </c>
      <c r="K9" t="str">
        <f>IFERROR(__xludf.DUMMYFUNCTION("""COMPUTED_VALUE"""),"Italy")</f>
        <v>Italy</v>
      </c>
      <c r="L9">
        <f>IFERROR(__xludf.DUMMYFUNCTION("""COMPUTED_VALUE"""),17.0)</f>
        <v>17</v>
      </c>
      <c r="M9">
        <f>IFERROR(__xludf.DUMMYFUNCTION("""COMPUTED_VALUE"""),11.0)</f>
        <v>11</v>
      </c>
      <c r="N9">
        <f>IFERROR(__xludf.DUMMYFUNCTION("""COMPUTED_VALUE"""),42549.0)</f>
        <v>42549</v>
      </c>
    </row>
    <row r="10">
      <c r="A10">
        <f>IFERROR(__xludf.DUMMYFUNCTION("""COMPUTED_VALUE"""),446.0)</f>
        <v>446</v>
      </c>
      <c r="B10">
        <f>IFERROR(__xludf.DUMMYFUNCTION("""COMPUTED_VALUE"""),40.6644815)</f>
        <v>40.6644815</v>
      </c>
      <c r="C10">
        <f>IFERROR(__xludf.DUMMYFUNCTION("""COMPUTED_VALUE"""),16.6094969)</f>
        <v>16.6094969</v>
      </c>
      <c r="D10" t="str">
        <f>IFERROR(__xludf.DUMMYFUNCTION("""COMPUTED_VALUE"""),"Affittacamere")</f>
        <v>Affittacamere</v>
      </c>
      <c r="E10" t="str">
        <f>IFERROR(__xludf.DUMMYFUNCTION("""COMPUTED_VALUE"""),"CASA DIVA")</f>
        <v>CASA DIVA</v>
      </c>
      <c r="F10" t="str">
        <f>IFERROR(__xludf.DUMMYFUNCTION("""COMPUTED_VALUE"""),"CASA DIVA SRL")</f>
        <v>CASA DIVA SRL</v>
      </c>
      <c r="G10" t="str">
        <f>IFERROR(__xludf.DUMMYFUNCTION("""COMPUTED_VALUE"""),"VIA GIUMELLA 3")</f>
        <v>VIA GIUMELLA 3</v>
      </c>
      <c r="H10" t="str">
        <f>IFERROR(__xludf.DUMMYFUNCTION("""COMPUTED_VALUE"""),"Matera")</f>
        <v>Matera</v>
      </c>
      <c r="I10">
        <f>IFERROR(__xludf.DUMMYFUNCTION("""COMPUTED_VALUE"""),159.0)</f>
        <v>159</v>
      </c>
      <c r="J10">
        <f>IFERROR(__xludf.DUMMYFUNCTION("""COMPUTED_VALUE"""),1814.0)</f>
        <v>1814</v>
      </c>
      <c r="K10" t="str">
        <f>IFERROR(__xludf.DUMMYFUNCTION("""COMPUTED_VALUE"""),"Italy")</f>
        <v>Italy</v>
      </c>
      <c r="L10">
        <f>IFERROR(__xludf.DUMMYFUNCTION("""COMPUTED_VALUE"""),18.0)</f>
        <v>18</v>
      </c>
      <c r="M10">
        <f>IFERROR(__xludf.DUMMYFUNCTION("""COMPUTED_VALUE"""),17.0)</f>
        <v>17</v>
      </c>
      <c r="N10">
        <f>IFERROR(__xludf.DUMMYFUNCTION("""COMPUTED_VALUE"""),42956.0)</f>
        <v>42956</v>
      </c>
    </row>
    <row r="11">
      <c r="A11">
        <f>IFERROR(__xludf.DUMMYFUNCTION("""COMPUTED_VALUE"""),447.0)</f>
        <v>447</v>
      </c>
      <c r="B11">
        <f>IFERROR(__xludf.DUMMYFUNCTION("""COMPUTED_VALUE"""),40.6703410950492)</f>
        <v>40.6703411</v>
      </c>
      <c r="C11">
        <f>IFERROR(__xludf.DUMMYFUNCTION("""COMPUTED_VALUE"""),16.6078599151644)</f>
        <v>16.60785992</v>
      </c>
      <c r="D11" t="str">
        <f>IFERROR(__xludf.DUMMYFUNCTION("""COMPUTED_VALUE"""),"Affittacamere")</f>
        <v>Affittacamere</v>
      </c>
      <c r="E11" t="str">
        <f>IFERROR(__xludf.DUMMYFUNCTION("""COMPUTED_VALUE"""),"CASA NATALI'")</f>
        <v>CASA NATALI'</v>
      </c>
      <c r="F11" t="str">
        <f>IFERROR(__xludf.DUMMYFUNCTION("""COMPUTED_VALUE"""),"ROBERTA SCHIUMA")</f>
        <v>ROBERTA SCHIUMA</v>
      </c>
      <c r="G11" t="str">
        <f>IFERROR(__xludf.DUMMYFUNCTION("""COMPUTED_VALUE"""),"VIA PENTASIGLIA 21-23")</f>
        <v>VIA PENTASIGLIA 21-23</v>
      </c>
      <c r="H11" t="str">
        <f>IFERROR(__xludf.DUMMYFUNCTION("""COMPUTED_VALUE"""),"Matera")</f>
        <v>Matera</v>
      </c>
      <c r="I11">
        <f>IFERROR(__xludf.DUMMYFUNCTION("""COMPUTED_VALUE"""),159.0)</f>
        <v>159</v>
      </c>
      <c r="J11">
        <f>IFERROR(__xludf.DUMMYFUNCTION("""COMPUTED_VALUE"""),3601.0)</f>
        <v>3601</v>
      </c>
      <c r="K11" t="str">
        <f>IFERROR(__xludf.DUMMYFUNCTION("""COMPUTED_VALUE"""),"Italy")</f>
        <v>Italy</v>
      </c>
      <c r="L11">
        <f>IFERROR(__xludf.DUMMYFUNCTION("""COMPUTED_VALUE"""),5.0)</f>
        <v>5</v>
      </c>
      <c r="M11">
        <f>IFERROR(__xludf.DUMMYFUNCTION("""COMPUTED_VALUE"""),10.0)</f>
        <v>10</v>
      </c>
      <c r="N11">
        <f>IFERROR(__xludf.DUMMYFUNCTION("""COMPUTED_VALUE"""),41324.0)</f>
        <v>41324</v>
      </c>
    </row>
    <row r="12">
      <c r="A12">
        <f>IFERROR(__xludf.DUMMYFUNCTION("""COMPUTED_VALUE"""),448.0)</f>
        <v>448</v>
      </c>
      <c r="B12">
        <f>IFERROR(__xludf.DUMMYFUNCTION("""COMPUTED_VALUE"""),40.6585674)</f>
        <v>40.6585674</v>
      </c>
      <c r="C12">
        <f>IFERROR(__xludf.DUMMYFUNCTION("""COMPUTED_VALUE"""),16.6158552)</f>
        <v>16.6158552</v>
      </c>
      <c r="D12" t="str">
        <f>IFERROR(__xludf.DUMMYFUNCTION("""COMPUTED_VALUE"""),"Affittacamere")</f>
        <v>Affittacamere</v>
      </c>
      <c r="E12" t="str">
        <f>IFERROR(__xludf.DUMMYFUNCTION("""COMPUTED_VALUE"""),"CASA STELLA")</f>
        <v>CASA STELLA</v>
      </c>
      <c r="F12" t="str">
        <f>IFERROR(__xludf.DUMMYFUNCTION("""COMPUTED_VALUE"""),"SANTERAMO F.PAOLO")</f>
        <v>SANTERAMO F.PAOLO</v>
      </c>
      <c r="G12" t="str">
        <f>IFERROR(__xludf.DUMMYFUNCTION("""COMPUTED_VALUE"""),"VIA CASALNUOVO 257")</f>
        <v>VIA CASALNUOVO 257</v>
      </c>
      <c r="H12" t="str">
        <f>IFERROR(__xludf.DUMMYFUNCTION("""COMPUTED_VALUE"""),"Matera")</f>
        <v>Matera</v>
      </c>
      <c r="I12">
        <f>IFERROR(__xludf.DUMMYFUNCTION("""COMPUTED_VALUE"""),159.0)</f>
        <v>159</v>
      </c>
      <c r="J12">
        <f>IFERROR(__xludf.DUMMYFUNCTION("""COMPUTED_VALUE"""),4085.0)</f>
        <v>4085</v>
      </c>
      <c r="K12" t="str">
        <f>IFERROR(__xludf.DUMMYFUNCTION("""COMPUTED_VALUE"""),"Italy")</f>
        <v>Italy</v>
      </c>
      <c r="L12">
        <f>IFERROR(__xludf.DUMMYFUNCTION("""COMPUTED_VALUE"""),1.0)</f>
        <v>1</v>
      </c>
      <c r="M12">
        <f>IFERROR(__xludf.DUMMYFUNCTION("""COMPUTED_VALUE"""),10.0)</f>
        <v>10</v>
      </c>
      <c r="N12">
        <f>IFERROR(__xludf.DUMMYFUNCTION("""COMPUTED_VALUE"""),41226.0)</f>
        <v>41226</v>
      </c>
    </row>
    <row r="13">
      <c r="A13">
        <f>IFERROR(__xludf.DUMMYFUNCTION("""COMPUTED_VALUE"""),450.0)</f>
        <v>450</v>
      </c>
      <c r="B13">
        <f>IFERROR(__xludf.DUMMYFUNCTION("""COMPUTED_VALUE"""),40.6717055)</f>
        <v>40.6717055</v>
      </c>
      <c r="C13">
        <f>IFERROR(__xludf.DUMMYFUNCTION("""COMPUTED_VALUE"""),16.6084209)</f>
        <v>16.6084209</v>
      </c>
      <c r="D13" t="str">
        <f>IFERROR(__xludf.DUMMYFUNCTION("""COMPUTED_VALUE"""),"Affittacamere")</f>
        <v>Affittacamere</v>
      </c>
      <c r="E13" t="str">
        <f>IFERROR(__xludf.DUMMYFUNCTION("""COMPUTED_VALUE"""),"CASABLANCA MATERA SAS DI CIMMINO AMERIGA &amp;C.")</f>
        <v>CASABLANCA MATERA SAS DI CIMMINO AMERIGA &amp;C.</v>
      </c>
      <c r="F13" t="str">
        <f>IFERROR(__xludf.DUMMYFUNCTION("""COMPUTED_VALUE"""),"CASABLANCA MATERA SAS DI CIMINO AMERIGA &amp; C.")</f>
        <v>CASABLANCA MATERA SAS DI CIMINO AMERIGA &amp; C.</v>
      </c>
      <c r="G13" t="str">
        <f>IFERROR(__xludf.DUMMYFUNCTION("""COMPUTED_VALUE"""),"VIA SANTO STEFANO 55")</f>
        <v>VIA SANTO STEFANO 55</v>
      </c>
      <c r="H13" t="str">
        <f>IFERROR(__xludf.DUMMYFUNCTION("""COMPUTED_VALUE"""),"Matera")</f>
        <v>Matera</v>
      </c>
      <c r="I13">
        <f>IFERROR(__xludf.DUMMYFUNCTION("""COMPUTED_VALUE"""),159.0)</f>
        <v>159</v>
      </c>
      <c r="J13">
        <f>IFERROR(__xludf.DUMMYFUNCTION("""COMPUTED_VALUE"""),2897.0)</f>
        <v>2897</v>
      </c>
      <c r="K13" t="str">
        <f>IFERROR(__xludf.DUMMYFUNCTION("""COMPUTED_VALUE"""),"Italy")</f>
        <v>Italy</v>
      </c>
      <c r="L13">
        <f>IFERROR(__xludf.DUMMYFUNCTION("""COMPUTED_VALUE"""),8.0)</f>
        <v>8</v>
      </c>
      <c r="M13">
        <f>IFERROR(__xludf.DUMMYFUNCTION("""COMPUTED_VALUE"""),11.0)</f>
        <v>11</v>
      </c>
      <c r="N13">
        <f>IFERROR(__xludf.DUMMYFUNCTION("""COMPUTED_VALUE"""),42550.0)</f>
        <v>42550</v>
      </c>
    </row>
    <row r="14">
      <c r="A14">
        <f>IFERROR(__xludf.DUMMYFUNCTION("""COMPUTED_VALUE"""),451.0)</f>
        <v>451</v>
      </c>
      <c r="B14">
        <f>IFERROR(__xludf.DUMMYFUNCTION("""COMPUTED_VALUE"""),40.6475086)</f>
        <v>40.6475086</v>
      </c>
      <c r="C14">
        <f>IFERROR(__xludf.DUMMYFUNCTION("""COMPUTED_VALUE"""),16.6283385)</f>
        <v>16.6283385</v>
      </c>
      <c r="D14" t="str">
        <f>IFERROR(__xludf.DUMMYFUNCTION("""COMPUTED_VALUE"""),"Affittacamere")</f>
        <v>Affittacamere</v>
      </c>
      <c r="E14" t="str">
        <f>IFERROR(__xludf.DUMMYFUNCTION("""COMPUTED_VALUE"""),"CASALE BELVEDERE")</f>
        <v>CASALE BELVEDERE</v>
      </c>
      <c r="F14" t="str">
        <f>IFERROR(__xludf.DUMMYFUNCTION("""COMPUTED_VALUE"""),"CINZIA SCARCIOLLA")</f>
        <v>CINZIA SCARCIOLLA</v>
      </c>
      <c r="G14" t="str">
        <f>IFERROR(__xludf.DUMMYFUNCTION("""COMPUTED_VALUE"""),"CONTRADA AGNA LE PIANE")</f>
        <v>CONTRADA AGNA LE PIANE</v>
      </c>
      <c r="H14" t="str">
        <f>IFERROR(__xludf.DUMMYFUNCTION("""COMPUTED_VALUE"""),"Matera")</f>
        <v>Matera</v>
      </c>
      <c r="I14">
        <f>IFERROR(__xludf.DUMMYFUNCTION("""COMPUTED_VALUE"""),114.0)</f>
        <v>114</v>
      </c>
      <c r="J14">
        <f>IFERROR(__xludf.DUMMYFUNCTION("""COMPUTED_VALUE"""),861.0)</f>
        <v>861</v>
      </c>
      <c r="K14" t="str">
        <f>IFERROR(__xludf.DUMMYFUNCTION("""COMPUTED_VALUE"""),"Italy")</f>
        <v>Italy</v>
      </c>
      <c r="L14">
        <f>IFERROR(__xludf.DUMMYFUNCTION("""COMPUTED_VALUE"""),10.0)</f>
        <v>10</v>
      </c>
      <c r="M14">
        <f>IFERROR(__xludf.DUMMYFUNCTION("""COMPUTED_VALUE"""),6.0)</f>
        <v>6</v>
      </c>
      <c r="N14">
        <f>IFERROR(__xludf.DUMMYFUNCTION("""COMPUTED_VALUE"""),42579.0)</f>
        <v>42579</v>
      </c>
    </row>
    <row r="15">
      <c r="A15">
        <f>IFERROR(__xludf.DUMMYFUNCTION("""COMPUTED_VALUE"""),452.0)</f>
        <v>452</v>
      </c>
      <c r="B15">
        <f>IFERROR(__xludf.DUMMYFUNCTION("""COMPUTED_VALUE"""),40.6670639)</f>
        <v>40.6670639</v>
      </c>
      <c r="C15">
        <f>IFERROR(__xludf.DUMMYFUNCTION("""COMPUTED_VALUE"""),16.6051056)</f>
        <v>16.6051056</v>
      </c>
      <c r="D15" t="str">
        <f>IFERROR(__xludf.DUMMYFUNCTION("""COMPUTED_VALUE"""),"Affittacamere")</f>
        <v>Affittacamere</v>
      </c>
      <c r="E15" t="str">
        <f>IFERROR(__xludf.DUMMYFUNCTION("""COMPUTED_VALUE"""),"CIVICO 28 CASA ALBERGO")</f>
        <v>CIVICO 28 CASA ALBERGO</v>
      </c>
      <c r="F15" t="str">
        <f>IFERROR(__xludf.DUMMYFUNCTION("""COMPUTED_VALUE"""),"CIVICO 28 CASA ALBERGO")</f>
        <v>CIVICO 28 CASA ALBERGO</v>
      </c>
      <c r="G15" t="str">
        <f>IFERROR(__xludf.DUMMYFUNCTION("""COMPUTED_VALUE"""),"VIA XXSETTEMBRE 28 2°PIANO")</f>
        <v>VIA XXSETTEMBRE 28 2°PIANO</v>
      </c>
      <c r="H15" t="str">
        <f>IFERROR(__xludf.DUMMYFUNCTION("""COMPUTED_VALUE"""),"Matera")</f>
        <v>Matera</v>
      </c>
      <c r="I15">
        <f>IFERROR(__xludf.DUMMYFUNCTION("""COMPUTED_VALUE"""),159.0)</f>
        <v>159</v>
      </c>
      <c r="J15">
        <f>IFERROR(__xludf.DUMMYFUNCTION("""COMPUTED_VALUE"""),2900.0)</f>
        <v>2900</v>
      </c>
      <c r="K15" t="str">
        <f>IFERROR(__xludf.DUMMYFUNCTION("""COMPUTED_VALUE"""),"Italy")</f>
        <v>Italy</v>
      </c>
      <c r="L15">
        <f>IFERROR(__xludf.DUMMYFUNCTION("""COMPUTED_VALUE"""),39.0)</f>
        <v>39</v>
      </c>
      <c r="M15">
        <f>IFERROR(__xludf.DUMMYFUNCTION("""COMPUTED_VALUE"""),8.0)</f>
        <v>8</v>
      </c>
      <c r="N15">
        <f>IFERROR(__xludf.DUMMYFUNCTION("""COMPUTED_VALUE"""),42541.0)</f>
        <v>42541</v>
      </c>
    </row>
    <row r="16">
      <c r="A16">
        <f>IFERROR(__xludf.DUMMYFUNCTION("""COMPUTED_VALUE"""),453.0)</f>
        <v>453</v>
      </c>
      <c r="B16">
        <f>IFERROR(__xludf.DUMMYFUNCTION("""COMPUTED_VALUE"""),40.6617938118812)</f>
        <v>40.66179381</v>
      </c>
      <c r="C16">
        <f>IFERROR(__xludf.DUMMYFUNCTION("""COMPUTED_VALUE"""),16.6115561127662)</f>
        <v>16.61155611</v>
      </c>
      <c r="D16" t="str">
        <f>IFERROR(__xludf.DUMMYFUNCTION("""COMPUTED_VALUE"""),"Affittacamere")</f>
        <v>Affittacamere</v>
      </c>
      <c r="E16" t="str">
        <f>IFERROR(__xludf.DUMMYFUNCTION("""COMPUTED_VALUE"""),"CORTE SAN LEONARDO")</f>
        <v>CORTE SAN LEONARDO</v>
      </c>
      <c r="F16" t="str">
        <f>IFERROR(__xludf.DUMMYFUNCTION("""COMPUTED_VALUE"""),"BARBARA FONTANESI")</f>
        <v>BARBARA FONTANESI</v>
      </c>
      <c r="G16" t="str">
        <f>IFERROR(__xludf.DUMMYFUNCTION("""COMPUTED_VALUE"""),"VICO SAN LEONARDO")</f>
        <v>VICO SAN LEONARDO</v>
      </c>
      <c r="H16" t="str">
        <f>IFERROR(__xludf.DUMMYFUNCTION("""COMPUTED_VALUE"""),"Matera")</f>
        <v>Matera</v>
      </c>
      <c r="I16">
        <f>IFERROR(__xludf.DUMMYFUNCTION("""COMPUTED_VALUE"""),159.0)</f>
        <v>159</v>
      </c>
      <c r="J16">
        <f>IFERROR(__xludf.DUMMYFUNCTION("""COMPUTED_VALUE"""),2311.0)</f>
        <v>2311</v>
      </c>
      <c r="K16" t="str">
        <f>IFERROR(__xludf.DUMMYFUNCTION("""COMPUTED_VALUE"""),"Italy")</f>
        <v>Italy</v>
      </c>
      <c r="L16">
        <f>IFERROR(__xludf.DUMMYFUNCTION("""COMPUTED_VALUE"""),5.0)</f>
        <v>5</v>
      </c>
      <c r="M16">
        <f>IFERROR(__xludf.DUMMYFUNCTION("""COMPUTED_VALUE"""),4.0)</f>
        <v>4</v>
      </c>
      <c r="N16">
        <f>IFERROR(__xludf.DUMMYFUNCTION("""COMPUTED_VALUE"""),42544.0)</f>
        <v>42544</v>
      </c>
    </row>
    <row r="17">
      <c r="A17">
        <f>IFERROR(__xludf.DUMMYFUNCTION("""COMPUTED_VALUE"""),455.0)</f>
        <v>455</v>
      </c>
      <c r="B17">
        <f>IFERROR(__xludf.DUMMYFUNCTION("""COMPUTED_VALUE"""),40.661368)</f>
        <v>40.661368</v>
      </c>
      <c r="C17">
        <f>IFERROR(__xludf.DUMMYFUNCTION("""COMPUTED_VALUE"""),16.6115481)</f>
        <v>16.6115481</v>
      </c>
      <c r="D17" t="str">
        <f>IFERROR(__xludf.DUMMYFUNCTION("""COMPUTED_VALUE"""),"Affittacamere")</f>
        <v>Affittacamere</v>
      </c>
      <c r="E17" t="str">
        <f>IFERROR(__xludf.DUMMYFUNCTION("""COMPUTED_VALUE"""),"DIMORA MARGHERITA")</f>
        <v>DIMORA MARGHERITA</v>
      </c>
      <c r="F17" t="str">
        <f>IFERROR(__xludf.DUMMYFUNCTION("""COMPUTED_VALUE"""),"MARRAUDINO MARGHERITA")</f>
        <v>MARRAUDINO MARGHERITA</v>
      </c>
      <c r="G17" t="str">
        <f>IFERROR(__xludf.DUMMYFUNCTION("""COMPUTED_VALUE"""),"VIA CASALNUOVO 80")</f>
        <v>VIA CASALNUOVO 80</v>
      </c>
      <c r="H17" t="str">
        <f>IFERROR(__xludf.DUMMYFUNCTION("""COMPUTED_VALUE"""),"Matera")</f>
        <v>Matera</v>
      </c>
      <c r="I17">
        <f>IFERROR(__xludf.DUMMYFUNCTION("""COMPUTED_VALUE"""),159.0)</f>
        <v>159</v>
      </c>
      <c r="J17">
        <f>IFERROR(__xludf.DUMMYFUNCTION("""COMPUTED_VALUE"""),3760.0)</f>
        <v>3760</v>
      </c>
      <c r="K17" t="str">
        <f>IFERROR(__xludf.DUMMYFUNCTION("""COMPUTED_VALUE"""),"Italy")</f>
        <v>Italy</v>
      </c>
      <c r="L17">
        <f>IFERROR(__xludf.DUMMYFUNCTION("""COMPUTED_VALUE"""),9.0)</f>
        <v>9</v>
      </c>
      <c r="M17">
        <f>IFERROR(__xludf.DUMMYFUNCTION("""COMPUTED_VALUE"""),6.0)</f>
        <v>6</v>
      </c>
      <c r="N17">
        <f>IFERROR(__xludf.DUMMYFUNCTION("""COMPUTED_VALUE"""),42591.0)</f>
        <v>42591</v>
      </c>
    </row>
    <row r="18">
      <c r="A18">
        <f>IFERROR(__xludf.DUMMYFUNCTION("""COMPUTED_VALUE"""),456.0)</f>
        <v>456</v>
      </c>
      <c r="B18">
        <f>IFERROR(__xludf.DUMMYFUNCTION("""COMPUTED_VALUE"""),40.6608715)</f>
        <v>40.6608715</v>
      </c>
      <c r="C18">
        <f>IFERROR(__xludf.DUMMYFUNCTION("""COMPUTED_VALUE"""),16.6114403)</f>
        <v>16.6114403</v>
      </c>
      <c r="D18" t="str">
        <f>IFERROR(__xludf.DUMMYFUNCTION("""COMPUTED_VALUE"""),"Affittacamere")</f>
        <v>Affittacamere</v>
      </c>
      <c r="E18" t="str">
        <f>IFERROR(__xludf.DUMMYFUNCTION("""COMPUTED_VALUE"""),"DIMORE LUCANE")</f>
        <v>DIMORE LUCANE</v>
      </c>
      <c r="F18" t="str">
        <f>IFERROR(__xludf.DUMMYFUNCTION("""COMPUTED_VALUE"""),"DIMORE LE LUCANE SRLS")</f>
        <v>DIMORE LE LUCANE SRLS</v>
      </c>
      <c r="G18" t="str">
        <f>IFERROR(__xludf.DUMMYFUNCTION("""COMPUTED_VALUE"""),"VIA LUCANA 223")</f>
        <v>VIA LUCANA 223</v>
      </c>
      <c r="H18" t="str">
        <f>IFERROR(__xludf.DUMMYFUNCTION("""COMPUTED_VALUE"""),"Matera")</f>
        <v>Matera</v>
      </c>
      <c r="I18">
        <f>IFERROR(__xludf.DUMMYFUNCTION("""COMPUTED_VALUE"""),159.0)</f>
        <v>159</v>
      </c>
      <c r="J18">
        <f>IFERROR(__xludf.DUMMYFUNCTION("""COMPUTED_VALUE"""),3531.0)</f>
        <v>3531</v>
      </c>
      <c r="K18" t="str">
        <f>IFERROR(__xludf.DUMMYFUNCTION("""COMPUTED_VALUE"""),"Italy")</f>
        <v>Italy</v>
      </c>
      <c r="L18">
        <f>IFERROR(__xludf.DUMMYFUNCTION("""COMPUTED_VALUE"""),6.0)</f>
        <v>6</v>
      </c>
      <c r="M18">
        <f>IFERROR(__xludf.DUMMYFUNCTION("""COMPUTED_VALUE"""),15.0)</f>
        <v>15</v>
      </c>
      <c r="N18">
        <f>IFERROR(__xludf.DUMMYFUNCTION("""COMPUTED_VALUE"""),42420.0)</f>
        <v>42420</v>
      </c>
    </row>
    <row r="19">
      <c r="A19">
        <f>IFERROR(__xludf.DUMMYFUNCTION("""COMPUTED_VALUE"""),457.0)</f>
        <v>457</v>
      </c>
      <c r="B19">
        <f>IFERROR(__xludf.DUMMYFUNCTION("""COMPUTED_VALUE"""),40.6671309)</f>
        <v>40.6671309</v>
      </c>
      <c r="C19">
        <f>IFERROR(__xludf.DUMMYFUNCTION("""COMPUTED_VALUE"""),16.6031838)</f>
        <v>16.6031838</v>
      </c>
      <c r="D19" t="str">
        <f>IFERROR(__xludf.DUMMYFUNCTION("""COMPUTED_VALUE"""),"Affittacamere")</f>
        <v>Affittacamere</v>
      </c>
      <c r="E19" t="str">
        <f>IFERROR(__xludf.DUMMYFUNCTION("""COMPUTED_VALUE"""),"DOMUS ROMA")</f>
        <v>DOMUS ROMA</v>
      </c>
      <c r="F19" t="str">
        <f>IFERROR(__xludf.DUMMYFUNCTION("""COMPUTED_VALUE"""),"ITALET SAS- DI LUCARELLA GIOVANNA")</f>
        <v>ITALET SAS- DI LUCARELLA GIOVANNA</v>
      </c>
      <c r="G19" t="str">
        <f>IFERROR(__xludf.DUMMYFUNCTION("""COMPUTED_VALUE"""),"VIA ROMA 57")</f>
        <v>VIA ROMA 57</v>
      </c>
      <c r="H19" t="str">
        <f>IFERROR(__xludf.DUMMYFUNCTION("""COMPUTED_VALUE"""),"Matera")</f>
        <v>Matera</v>
      </c>
      <c r="I19" t="str">
        <f>IFERROR(__xludf.DUMMYFUNCTION("""COMPUTED_VALUE"""),"")</f>
        <v/>
      </c>
      <c r="J19" t="str">
        <f>IFERROR(__xludf.DUMMYFUNCTION("""COMPUTED_VALUE"""),"")</f>
        <v/>
      </c>
      <c r="K19" t="str">
        <f>IFERROR(__xludf.DUMMYFUNCTION("""COMPUTED_VALUE"""),"Italy")</f>
        <v>Italy</v>
      </c>
      <c r="L19" t="str">
        <f>IFERROR(__xludf.DUMMYFUNCTION("""COMPUTED_VALUE"""),"")</f>
        <v/>
      </c>
      <c r="M19">
        <f>IFERROR(__xludf.DUMMYFUNCTION("""COMPUTED_VALUE"""),7.0)</f>
        <v>7</v>
      </c>
      <c r="N19">
        <f>IFERROR(__xludf.DUMMYFUNCTION("""COMPUTED_VALUE"""),42354.0)</f>
        <v>42354</v>
      </c>
    </row>
    <row r="20">
      <c r="A20">
        <f>IFERROR(__xludf.DUMMYFUNCTION("""COMPUTED_VALUE"""),458.0)</f>
        <v>458</v>
      </c>
      <c r="B20">
        <f>IFERROR(__xludf.DUMMYFUNCTION("""COMPUTED_VALUE"""),40.6641573)</f>
        <v>40.6641573</v>
      </c>
      <c r="C20">
        <f>IFERROR(__xludf.DUMMYFUNCTION("""COMPUTED_VALUE"""),16.6081256)</f>
        <v>16.6081256</v>
      </c>
      <c r="D20" t="str">
        <f>IFERROR(__xludf.DUMMYFUNCTION("""COMPUTED_VALUE"""),"Affittacamere")</f>
        <v>Affittacamere</v>
      </c>
      <c r="E20" t="str">
        <f>IFERROR(__xludf.DUMMYFUNCTION("""COMPUTED_VALUE"""),"DONNA ELEONORA")</f>
        <v>DONNA ELEONORA</v>
      </c>
      <c r="F20" t="str">
        <f>IFERROR(__xludf.DUMMYFUNCTION("""COMPUTED_VALUE"""),"DILECCE ANGELA SILVIA")</f>
        <v>DILECCE ANGELA SILVIA</v>
      </c>
      <c r="G20" t="str">
        <f>IFERROR(__xludf.DUMMYFUNCTION("""COMPUTED_VALUE"""),"P.TTA E. BRACCO")</f>
        <v>P.TTA E. BRACCO</v>
      </c>
      <c r="H20" t="str">
        <f>IFERROR(__xludf.DUMMYFUNCTION("""COMPUTED_VALUE"""),"Matera")</f>
        <v>Matera</v>
      </c>
      <c r="I20">
        <f>IFERROR(__xludf.DUMMYFUNCTION("""COMPUTED_VALUE"""),159.0)</f>
        <v>159</v>
      </c>
      <c r="J20">
        <f>IFERROR(__xludf.DUMMYFUNCTION("""COMPUTED_VALUE"""),3958.0)</f>
        <v>3958</v>
      </c>
      <c r="K20" t="str">
        <f>IFERROR(__xludf.DUMMYFUNCTION("""COMPUTED_VALUE"""),"Italy")</f>
        <v>Italy</v>
      </c>
      <c r="L20">
        <f>IFERROR(__xludf.DUMMYFUNCTION("""COMPUTED_VALUE"""),4.0)</f>
        <v>4</v>
      </c>
      <c r="M20">
        <f>IFERROR(__xludf.DUMMYFUNCTION("""COMPUTED_VALUE"""),7.0)</f>
        <v>7</v>
      </c>
      <c r="N20">
        <f>IFERROR(__xludf.DUMMYFUNCTION("""COMPUTED_VALUE"""),41394.0)</f>
        <v>41394</v>
      </c>
    </row>
    <row r="21">
      <c r="A21">
        <f>IFERROR(__xludf.DUMMYFUNCTION("""COMPUTED_VALUE"""),459.0)</f>
        <v>459</v>
      </c>
      <c r="B21">
        <f>IFERROR(__xludf.DUMMYFUNCTION("""COMPUTED_VALUE"""),40.6638349)</f>
        <v>40.6638349</v>
      </c>
      <c r="C21">
        <f>IFERROR(__xludf.DUMMYFUNCTION("""COMPUTED_VALUE"""),16.5973075)</f>
        <v>16.5973075</v>
      </c>
      <c r="D21" t="str">
        <f>IFERROR(__xludf.DUMMYFUNCTION("""COMPUTED_VALUE"""),"Affittacamere")</f>
        <v>Affittacamere</v>
      </c>
      <c r="E21" t="str">
        <f>IFERROR(__xludf.DUMMYFUNCTION("""COMPUTED_VALUE"""),"DONNA ELEONORA")</f>
        <v>DONNA ELEONORA</v>
      </c>
      <c r="F21" t="str">
        <f>IFERROR(__xludf.DUMMYFUNCTION("""COMPUTED_VALUE"""),"DI LECCE ANGELA SILVIA")</f>
        <v>DI LECCE ANGELA SILVIA</v>
      </c>
      <c r="G21" t="str">
        <f>IFERROR(__xludf.DUMMYFUNCTION("""COMPUTED_VALUE"""),"VIA TIMMARI 1")</f>
        <v>VIA TIMMARI 1</v>
      </c>
      <c r="H21" t="str">
        <f>IFERROR(__xludf.DUMMYFUNCTION("""COMPUTED_VALUE"""),"Matera")</f>
        <v>Matera</v>
      </c>
      <c r="I21">
        <f>IFERROR(__xludf.DUMMYFUNCTION("""COMPUTED_VALUE"""),71.0)</f>
        <v>71</v>
      </c>
      <c r="J21">
        <f>IFERROR(__xludf.DUMMYFUNCTION("""COMPUTED_VALUE"""),1804.0)</f>
        <v>1804</v>
      </c>
      <c r="K21" t="str">
        <f>IFERROR(__xludf.DUMMYFUNCTION("""COMPUTED_VALUE"""),"Italy")</f>
        <v>Italy</v>
      </c>
      <c r="L21">
        <f>IFERROR(__xludf.DUMMYFUNCTION("""COMPUTED_VALUE"""),40.0)</f>
        <v>40</v>
      </c>
      <c r="M21">
        <f>IFERROR(__xludf.DUMMYFUNCTION("""COMPUTED_VALUE"""),7.0)</f>
        <v>7</v>
      </c>
      <c r="N21">
        <f>IFERROR(__xludf.DUMMYFUNCTION("""COMPUTED_VALUE"""),42374.0)</f>
        <v>42374</v>
      </c>
    </row>
    <row r="22">
      <c r="A22">
        <f>IFERROR(__xludf.DUMMYFUNCTION("""COMPUTED_VALUE"""),460.0)</f>
        <v>460</v>
      </c>
      <c r="B22">
        <f>IFERROR(__xludf.DUMMYFUNCTION("""COMPUTED_VALUE"""),40.6716856)</f>
        <v>40.6716856</v>
      </c>
      <c r="C22">
        <f>IFERROR(__xludf.DUMMYFUNCTION("""COMPUTED_VALUE"""),16.6073451)</f>
        <v>16.6073451</v>
      </c>
      <c r="D22" t="str">
        <f>IFERROR(__xludf.DUMMYFUNCTION("""COMPUTED_VALUE"""),"Affittacamere")</f>
        <v>Affittacamere</v>
      </c>
      <c r="E22" t="str">
        <f>IFERROR(__xludf.DUMMYFUNCTION("""COMPUTED_VALUE"""),"GATTINI 33")</f>
        <v>GATTINI 33</v>
      </c>
      <c r="F22" t="str">
        <f>IFERROR(__xludf.DUMMYFUNCTION("""COMPUTED_VALUE"""),"LORENZO LIUZZI")</f>
        <v>LORENZO LIUZZI</v>
      </c>
      <c r="G22" t="str">
        <f>IFERROR(__xludf.DUMMYFUNCTION("""COMPUTED_VALUE"""),"VIA GATTINI 33")</f>
        <v>VIA GATTINI 33</v>
      </c>
      <c r="H22" t="str">
        <f>IFERROR(__xludf.DUMMYFUNCTION("""COMPUTED_VALUE"""),"Matera")</f>
        <v>Matera</v>
      </c>
      <c r="I22">
        <f>IFERROR(__xludf.DUMMYFUNCTION("""COMPUTED_VALUE"""),159.0)</f>
        <v>159</v>
      </c>
      <c r="J22">
        <f>IFERROR(__xludf.DUMMYFUNCTION("""COMPUTED_VALUE"""),3687.0)</f>
        <v>3687</v>
      </c>
      <c r="K22" t="str">
        <f>IFERROR(__xludf.DUMMYFUNCTION("""COMPUTED_VALUE"""),"Italy")</f>
        <v>Italy</v>
      </c>
      <c r="L22">
        <f>IFERROR(__xludf.DUMMYFUNCTION("""COMPUTED_VALUE"""),9.0)</f>
        <v>9</v>
      </c>
      <c r="M22">
        <f>IFERROR(__xludf.DUMMYFUNCTION("""COMPUTED_VALUE"""),6.0)</f>
        <v>6</v>
      </c>
      <c r="N22">
        <f>IFERROR(__xludf.DUMMYFUNCTION("""COMPUTED_VALUE"""),43502.0)</f>
        <v>43502</v>
      </c>
    </row>
    <row r="23">
      <c r="A23">
        <f>IFERROR(__xludf.DUMMYFUNCTION("""COMPUTED_VALUE"""),461.0)</f>
        <v>461</v>
      </c>
      <c r="B23">
        <f>IFERROR(__xludf.DUMMYFUNCTION("""COMPUTED_VALUE"""),40.669989)</f>
        <v>40.669989</v>
      </c>
      <c r="C23">
        <f>IFERROR(__xludf.DUMMYFUNCTION("""COMPUTED_VALUE"""),16.60884)</f>
        <v>16.60884</v>
      </c>
      <c r="D23" t="str">
        <f>IFERROR(__xludf.DUMMYFUNCTION("""COMPUTED_VALUE"""),"Affittacamere")</f>
        <v>Affittacamere</v>
      </c>
      <c r="E23" t="str">
        <f>IFERROR(__xludf.DUMMYFUNCTION("""COMPUTED_VALUE"""),"GIULIETTA NEI SASSI")</f>
        <v>GIULIETTA NEI SASSI</v>
      </c>
      <c r="F23" t="str">
        <f>IFERROR(__xludf.DUMMYFUNCTION("""COMPUTED_VALUE"""),"D'ERCOLE MARILISA")</f>
        <v>D'ERCOLE MARILISA</v>
      </c>
      <c r="G23" t="str">
        <f>IFERROR(__xludf.DUMMYFUNCTION("""COMPUTED_VALUE"""),"VIA SANTA CESAREA 43")</f>
        <v>VIA SANTA CESAREA 43</v>
      </c>
      <c r="H23" t="str">
        <f>IFERROR(__xludf.DUMMYFUNCTION("""COMPUTED_VALUE"""),"Matera")</f>
        <v>Matera</v>
      </c>
      <c r="I23">
        <f>IFERROR(__xludf.DUMMYFUNCTION("""COMPUTED_VALUE"""),159.0)</f>
        <v>159</v>
      </c>
      <c r="J23">
        <f>IFERROR(__xludf.DUMMYFUNCTION("""COMPUTED_VALUE"""),3581.0)</f>
        <v>3581</v>
      </c>
      <c r="K23" t="str">
        <f>IFERROR(__xludf.DUMMYFUNCTION("""COMPUTED_VALUE"""),"Italy")</f>
        <v>Italy</v>
      </c>
      <c r="L23">
        <f>IFERROR(__xludf.DUMMYFUNCTION("""COMPUTED_VALUE"""),17.0)</f>
        <v>17</v>
      </c>
      <c r="M23">
        <f>IFERROR(__xludf.DUMMYFUNCTION("""COMPUTED_VALUE"""),7.0)</f>
        <v>7</v>
      </c>
      <c r="N23">
        <f>IFERROR(__xludf.DUMMYFUNCTION("""COMPUTED_VALUE"""),42101.0)</f>
        <v>42101</v>
      </c>
    </row>
    <row r="24">
      <c r="A24">
        <f>IFERROR(__xludf.DUMMYFUNCTION("""COMPUTED_VALUE"""),462.0)</f>
        <v>462</v>
      </c>
      <c r="B24">
        <f>IFERROR(__xludf.DUMMYFUNCTION("""COMPUTED_VALUE"""),40.664933)</f>
        <v>40.664933</v>
      </c>
      <c r="C24">
        <f>IFERROR(__xludf.DUMMYFUNCTION("""COMPUTED_VALUE"""),16.610416)</f>
        <v>16.610416</v>
      </c>
      <c r="D24" t="str">
        <f>IFERROR(__xludf.DUMMYFUNCTION("""COMPUTED_VALUE"""),"Affittacamere")</f>
        <v>Affittacamere</v>
      </c>
      <c r="E24" t="str">
        <f>IFERROR(__xludf.DUMMYFUNCTION("""COMPUTED_VALUE"""),"GRADELLE PENNINO")</f>
        <v>GRADELLE PENNINO</v>
      </c>
      <c r="F24" t="str">
        <f>IFERROR(__xludf.DUMMYFUNCTION("""COMPUTED_VALUE"""),"GIUSEPPE BARBARO")</f>
        <v>GIUSEPPE BARBARO</v>
      </c>
      <c r="G24" t="str">
        <f>IFERROR(__xludf.DUMMYFUNCTION("""COMPUTED_VALUE"""),"VIA PENNINO 3")</f>
        <v>VIA PENNINO 3</v>
      </c>
      <c r="H24" t="str">
        <f>IFERROR(__xludf.DUMMYFUNCTION("""COMPUTED_VALUE"""),"Matera")</f>
        <v>Matera</v>
      </c>
      <c r="I24">
        <f>IFERROR(__xludf.DUMMYFUNCTION("""COMPUTED_VALUE"""),159.0)</f>
        <v>159</v>
      </c>
      <c r="J24">
        <f>IFERROR(__xludf.DUMMYFUNCTION("""COMPUTED_VALUE"""),1490.0)</f>
        <v>1490</v>
      </c>
      <c r="K24" t="str">
        <f>IFERROR(__xludf.DUMMYFUNCTION("""COMPUTED_VALUE"""),"Italy")</f>
        <v>Italy</v>
      </c>
      <c r="L24">
        <f>IFERROR(__xludf.DUMMYFUNCTION("""COMPUTED_VALUE"""),1.0)</f>
        <v>1</v>
      </c>
      <c r="M24">
        <f>IFERROR(__xludf.DUMMYFUNCTION("""COMPUTED_VALUE"""),8.0)</f>
        <v>8</v>
      </c>
      <c r="N24">
        <f>IFERROR(__xludf.DUMMYFUNCTION("""COMPUTED_VALUE"""),42542.0)</f>
        <v>42542</v>
      </c>
    </row>
    <row r="25">
      <c r="A25">
        <f>IFERROR(__xludf.DUMMYFUNCTION("""COMPUTED_VALUE"""),463.0)</f>
        <v>463</v>
      </c>
      <c r="B25">
        <f>IFERROR(__xludf.DUMMYFUNCTION("""COMPUTED_VALUE"""),40.6620138)</f>
        <v>40.6620138</v>
      </c>
      <c r="C25">
        <f>IFERROR(__xludf.DUMMYFUNCTION("""COMPUTED_VALUE"""),16.6094526)</f>
        <v>16.6094526</v>
      </c>
      <c r="D25" t="str">
        <f>IFERROR(__xludf.DUMMYFUNCTION("""COMPUTED_VALUE"""),"Affittacamere")</f>
        <v>Affittacamere</v>
      </c>
      <c r="E25" t="str">
        <f>IFERROR(__xludf.DUMMYFUNCTION("""COMPUTED_VALUE"""),"IL MONACO BIANCO")</f>
        <v>IL MONACO BIANCO</v>
      </c>
      <c r="F25" t="str">
        <f>IFERROR(__xludf.DUMMYFUNCTION("""COMPUTED_VALUE"""),"I BORGHESI SNC")</f>
        <v>I BORGHESI SNC</v>
      </c>
      <c r="G25" t="str">
        <f>IFERROR(__xludf.DUMMYFUNCTION("""COMPUTED_VALUE"""),"VIA LUCANA 200")</f>
        <v>VIA LUCANA 200</v>
      </c>
      <c r="H25" t="str">
        <f>IFERROR(__xludf.DUMMYFUNCTION("""COMPUTED_VALUE"""),"Matera")</f>
        <v>Matera</v>
      </c>
      <c r="I25">
        <f>IFERROR(__xludf.DUMMYFUNCTION("""COMPUTED_VALUE"""),103.0)</f>
        <v>103</v>
      </c>
      <c r="J25">
        <f>IFERROR(__xludf.DUMMYFUNCTION("""COMPUTED_VALUE"""),365.0)</f>
        <v>365</v>
      </c>
      <c r="K25" t="str">
        <f>IFERROR(__xludf.DUMMYFUNCTION("""COMPUTED_VALUE"""),"Italy")</f>
        <v>Italy</v>
      </c>
      <c r="L25">
        <f>IFERROR(__xludf.DUMMYFUNCTION("""COMPUTED_VALUE"""),10.0)</f>
        <v>10</v>
      </c>
      <c r="M25">
        <f>IFERROR(__xludf.DUMMYFUNCTION("""COMPUTED_VALUE"""),12.0)</f>
        <v>12</v>
      </c>
      <c r="N25">
        <f>IFERROR(__xludf.DUMMYFUNCTION("""COMPUTED_VALUE"""),42570.0)</f>
        <v>42570</v>
      </c>
    </row>
    <row r="26">
      <c r="A26">
        <f>IFERROR(__xludf.DUMMYFUNCTION("""COMPUTED_VALUE"""),464.0)</f>
        <v>464</v>
      </c>
      <c r="B26">
        <f>IFERROR(__xludf.DUMMYFUNCTION("""COMPUTED_VALUE"""),40.661256)</f>
        <v>40.661256</v>
      </c>
      <c r="C26">
        <f>IFERROR(__xludf.DUMMYFUNCTION("""COMPUTED_VALUE"""),16.6123327)</f>
        <v>16.6123327</v>
      </c>
      <c r="D26" t="str">
        <f>IFERROR(__xludf.DUMMYFUNCTION("""COMPUTED_VALUE"""),"Affittacamere")</f>
        <v>Affittacamere</v>
      </c>
      <c r="E26" t="str">
        <f>IFERROR(__xludf.DUMMYFUNCTION("""COMPUTED_VALUE"""),"IL NESPOLO")</f>
        <v>IL NESPOLO</v>
      </c>
      <c r="F26" t="str">
        <f>IFERROR(__xludf.DUMMYFUNCTION("""COMPUTED_VALUE"""),"MICHELE CUSCIANNA")</f>
        <v>MICHELE CUSCIANNA</v>
      </c>
      <c r="G26" t="str">
        <f>IFERROR(__xludf.DUMMYFUNCTION("""COMPUTED_VALUE"""),"VICO 3° CASALNUOVO 18")</f>
        <v>VICO 3° CASALNUOVO 18</v>
      </c>
      <c r="H26" t="str">
        <f>IFERROR(__xludf.DUMMYFUNCTION("""COMPUTED_VALUE"""),"Matera")</f>
        <v>Matera</v>
      </c>
      <c r="I26">
        <f>IFERROR(__xludf.DUMMYFUNCTION("""COMPUTED_VALUE"""),159.0)</f>
        <v>159</v>
      </c>
      <c r="J26">
        <f>IFERROR(__xludf.DUMMYFUNCTION("""COMPUTED_VALUE"""),2995.0)</f>
        <v>2995</v>
      </c>
      <c r="K26" t="str">
        <f>IFERROR(__xludf.DUMMYFUNCTION("""COMPUTED_VALUE"""),"Italy")</f>
        <v>Italy</v>
      </c>
      <c r="L26">
        <f>IFERROR(__xludf.DUMMYFUNCTION("""COMPUTED_VALUE"""),30.0)</f>
        <v>30</v>
      </c>
      <c r="M26">
        <f>IFERROR(__xludf.DUMMYFUNCTION("""COMPUTED_VALUE"""),4.0)</f>
        <v>4</v>
      </c>
      <c r="N26">
        <f>IFERROR(__xludf.DUMMYFUNCTION("""COMPUTED_VALUE"""),42360.0)</f>
        <v>42360</v>
      </c>
    </row>
    <row r="27">
      <c r="A27">
        <f>IFERROR(__xludf.DUMMYFUNCTION("""COMPUTED_VALUE"""),467.0)</f>
        <v>467</v>
      </c>
      <c r="B27">
        <f>IFERROR(__xludf.DUMMYFUNCTION("""COMPUTED_VALUE"""),40.6620151)</f>
        <v>40.6620151</v>
      </c>
      <c r="C27">
        <f>IFERROR(__xludf.DUMMYFUNCTION("""COMPUTED_VALUE"""),16.6103962)</f>
        <v>16.6103962</v>
      </c>
      <c r="D27" t="str">
        <f>IFERROR(__xludf.DUMMYFUNCTION("""COMPUTED_VALUE"""),"Affittacamere")</f>
        <v>Affittacamere</v>
      </c>
      <c r="E27" t="str">
        <f>IFERROR(__xludf.DUMMYFUNCTION("""COMPUTED_VALUE"""),"IL SORRISO DEI SASSI")</f>
        <v>IL SORRISO DEI SASSI</v>
      </c>
      <c r="F27" t="str">
        <f>IFERROR(__xludf.DUMMYFUNCTION("""COMPUTED_VALUE"""),"PIPITONE GIOVANNI")</f>
        <v>PIPITONE GIOVANNI</v>
      </c>
      <c r="G27" t="str">
        <f>IFERROR(__xludf.DUMMYFUNCTION("""COMPUTED_VALUE"""),"VIA CASALNUOVO 32")</f>
        <v>VIA CASALNUOVO 32</v>
      </c>
      <c r="H27" t="str">
        <f>IFERROR(__xludf.DUMMYFUNCTION("""COMPUTED_VALUE"""),"Matera")</f>
        <v>Matera</v>
      </c>
      <c r="I27">
        <f>IFERROR(__xludf.DUMMYFUNCTION("""COMPUTED_VALUE"""),159.0)</f>
        <v>159</v>
      </c>
      <c r="J27">
        <f>IFERROR(__xludf.DUMMYFUNCTION("""COMPUTED_VALUE"""),2551.0)</f>
        <v>2551</v>
      </c>
      <c r="K27" t="str">
        <f>IFERROR(__xludf.DUMMYFUNCTION("""COMPUTED_VALUE"""),"Italy")</f>
        <v>Italy</v>
      </c>
      <c r="L27">
        <f>IFERROR(__xludf.DUMMYFUNCTION("""COMPUTED_VALUE"""),13.0)</f>
        <v>13</v>
      </c>
      <c r="M27">
        <f>IFERROR(__xludf.DUMMYFUNCTION("""COMPUTED_VALUE"""),11.0)</f>
        <v>11</v>
      </c>
      <c r="N27">
        <f>IFERROR(__xludf.DUMMYFUNCTION("""COMPUTED_VALUE"""),42121.0)</f>
        <v>42121</v>
      </c>
    </row>
    <row r="28">
      <c r="A28">
        <f>IFERROR(__xludf.DUMMYFUNCTION("""COMPUTED_VALUE"""),468.0)</f>
        <v>468</v>
      </c>
      <c r="B28">
        <f>IFERROR(__xludf.DUMMYFUNCTION("""COMPUTED_VALUE"""),40.660796)</f>
        <v>40.660796</v>
      </c>
      <c r="C28">
        <f>IFERROR(__xludf.DUMMYFUNCTION("""COMPUTED_VALUE"""),16.61314)</f>
        <v>16.61314</v>
      </c>
      <c r="D28" t="str">
        <f>IFERROR(__xludf.DUMMYFUNCTION("""COMPUTED_VALUE"""),"Affittacamere")</f>
        <v>Affittacamere</v>
      </c>
      <c r="E28" t="str">
        <f>IFERROR(__xludf.DUMMYFUNCTION("""COMPUTED_VALUE"""),"IL VENTO DEI SASSI")</f>
        <v>IL VENTO DEI SASSI</v>
      </c>
      <c r="F28" t="str">
        <f>IFERROR(__xludf.DUMMYFUNCTION("""COMPUTED_VALUE"""),"CRISTINA FERRO")</f>
        <v>CRISTINA FERRO</v>
      </c>
      <c r="G28" t="str">
        <f>IFERROR(__xludf.DUMMYFUNCTION("""COMPUTED_VALUE"""),"VIA CASALNUOVO 149")</f>
        <v>VIA CASALNUOVO 149</v>
      </c>
      <c r="H28" t="str">
        <f>IFERROR(__xludf.DUMMYFUNCTION("""COMPUTED_VALUE"""),"Matera")</f>
        <v>Matera</v>
      </c>
      <c r="I28">
        <f>IFERROR(__xludf.DUMMYFUNCTION("""COMPUTED_VALUE"""),159.0)</f>
        <v>159</v>
      </c>
      <c r="J28">
        <f>IFERROR(__xludf.DUMMYFUNCTION("""COMPUTED_VALUE"""),2484.0)</f>
        <v>2484</v>
      </c>
      <c r="K28" t="str">
        <f>IFERROR(__xludf.DUMMYFUNCTION("""COMPUTED_VALUE"""),"Italy")</f>
        <v>Italy</v>
      </c>
      <c r="L28">
        <f>IFERROR(__xludf.DUMMYFUNCTION("""COMPUTED_VALUE"""),7.0)</f>
        <v>7</v>
      </c>
      <c r="M28">
        <f>IFERROR(__xludf.DUMMYFUNCTION("""COMPUTED_VALUE"""),7.0)</f>
        <v>7</v>
      </c>
      <c r="N28">
        <f>IFERROR(__xludf.DUMMYFUNCTION("""COMPUTED_VALUE"""),42243.0)</f>
        <v>42243</v>
      </c>
    </row>
    <row r="29">
      <c r="A29">
        <f>IFERROR(__xludf.DUMMYFUNCTION("""COMPUTED_VALUE"""),469.0)</f>
        <v>469</v>
      </c>
      <c r="B29">
        <f>IFERROR(__xludf.DUMMYFUNCTION("""COMPUTED_VALUE"""),40.6626534)</f>
        <v>40.6626534</v>
      </c>
      <c r="C29">
        <f>IFERROR(__xludf.DUMMYFUNCTION("""COMPUTED_VALUE"""),16.5971902)</f>
        <v>16.5971902</v>
      </c>
      <c r="D29" t="str">
        <f>IFERROR(__xludf.DUMMYFUNCTION("""COMPUTED_VALUE"""),"Affittacamere")</f>
        <v>Affittacamere</v>
      </c>
      <c r="E29" t="str">
        <f>IFERROR(__xludf.DUMMYFUNCTION("""COMPUTED_VALUE"""),"IL VIAGGIATORE")</f>
        <v>IL VIAGGIATORE</v>
      </c>
      <c r="F29" t="str">
        <f>IFERROR(__xludf.DUMMYFUNCTION("""COMPUTED_VALUE"""),"ICEM SRL")</f>
        <v>ICEM SRL</v>
      </c>
      <c r="G29" t="str">
        <f>IFERROR(__xludf.DUMMYFUNCTION("""COMPUTED_VALUE"""),"VIA PASSARELLI 13/A")</f>
        <v>VIA PASSARELLI 13/A</v>
      </c>
      <c r="H29" t="str">
        <f>IFERROR(__xludf.DUMMYFUNCTION("""COMPUTED_VALUE"""),"Matera")</f>
        <v>Matera</v>
      </c>
      <c r="I29">
        <f>IFERROR(__xludf.DUMMYFUNCTION("""COMPUTED_VALUE"""),71.0)</f>
        <v>71</v>
      </c>
      <c r="J29">
        <f>IFERROR(__xludf.DUMMYFUNCTION("""COMPUTED_VALUE"""),260.0)</f>
        <v>260</v>
      </c>
      <c r="K29" t="str">
        <f>IFERROR(__xludf.DUMMYFUNCTION("""COMPUTED_VALUE"""),"Italy")</f>
        <v>Italy</v>
      </c>
      <c r="L29">
        <f>IFERROR(__xludf.DUMMYFUNCTION("""COMPUTED_VALUE"""),27.0)</f>
        <v>27</v>
      </c>
      <c r="M29">
        <f>IFERROR(__xludf.DUMMYFUNCTION("""COMPUTED_VALUE"""),11.0)</f>
        <v>11</v>
      </c>
      <c r="N29">
        <f>IFERROR(__xludf.DUMMYFUNCTION("""COMPUTED_VALUE"""),42116.0)</f>
        <v>42116</v>
      </c>
    </row>
    <row r="30">
      <c r="A30">
        <f>IFERROR(__xludf.DUMMYFUNCTION("""COMPUTED_VALUE"""),470.0)</f>
        <v>470</v>
      </c>
      <c r="B30">
        <f>IFERROR(__xludf.DUMMYFUNCTION("""COMPUTED_VALUE"""),40.6814767)</f>
        <v>40.6814767</v>
      </c>
      <c r="C30">
        <f>IFERROR(__xludf.DUMMYFUNCTION("""COMPUTED_VALUE"""),16.5297298)</f>
        <v>16.5297298</v>
      </c>
      <c r="D30" t="str">
        <f>IFERROR(__xludf.DUMMYFUNCTION("""COMPUTED_VALUE"""),"Affittacamere")</f>
        <v>Affittacamere</v>
      </c>
      <c r="E30" t="str">
        <f>IFERROR(__xludf.DUMMYFUNCTION("""COMPUTED_VALUE"""),"LA CASA DEL BORGO")</f>
        <v>LA CASA DEL BORGO</v>
      </c>
      <c r="F30" t="str">
        <f>IFERROR(__xludf.DUMMYFUNCTION("""COMPUTED_VALUE"""),"ANNA CUSCIANNA")</f>
        <v>ANNA CUSCIANNA</v>
      </c>
      <c r="G30" t="str">
        <f>IFERROR(__xludf.DUMMYFUNCTION("""COMPUTED_VALUE"""),"C.DA MONACELLE")</f>
        <v>C.DA MONACELLE</v>
      </c>
      <c r="H30" t="str">
        <f>IFERROR(__xludf.DUMMYFUNCTION("""COMPUTED_VALUE"""),"Matera")</f>
        <v>Matera</v>
      </c>
      <c r="I30">
        <f>IFERROR(__xludf.DUMMYFUNCTION("""COMPUTED_VALUE"""),92.0)</f>
        <v>92</v>
      </c>
      <c r="J30">
        <f>IFERROR(__xludf.DUMMYFUNCTION("""COMPUTED_VALUE"""),276.0)</f>
        <v>276</v>
      </c>
      <c r="K30" t="str">
        <f>IFERROR(__xludf.DUMMYFUNCTION("""COMPUTED_VALUE"""),"Italy")</f>
        <v>Italy</v>
      </c>
      <c r="L30">
        <f>IFERROR(__xludf.DUMMYFUNCTION("""COMPUTED_VALUE"""),3.0)</f>
        <v>3</v>
      </c>
      <c r="M30">
        <f>IFERROR(__xludf.DUMMYFUNCTION("""COMPUTED_VALUE"""),12.0)</f>
        <v>12</v>
      </c>
      <c r="N30">
        <f>IFERROR(__xludf.DUMMYFUNCTION("""COMPUTED_VALUE"""),41394.0)</f>
        <v>41394</v>
      </c>
    </row>
    <row r="31">
      <c r="A31">
        <f>IFERROR(__xludf.DUMMYFUNCTION("""COMPUTED_VALUE"""),472.0)</f>
        <v>472</v>
      </c>
      <c r="B31">
        <f>IFERROR(__xludf.DUMMYFUNCTION("""COMPUTED_VALUE"""),40.6683003646816)</f>
        <v>40.66830036</v>
      </c>
      <c r="C31">
        <f>IFERROR(__xludf.DUMMYFUNCTION("""COMPUTED_VALUE"""),16.6105585496261)</f>
        <v>16.61055855</v>
      </c>
      <c r="D31" t="str">
        <f>IFERROR(__xludf.DUMMYFUNCTION("""COMPUTED_VALUE"""),"Affittacamere")</f>
        <v>Affittacamere</v>
      </c>
      <c r="E31" t="str">
        <f>IFERROR(__xludf.DUMMYFUNCTION("""COMPUTED_VALUE"""),"LA DIMORA DI METELLO")</f>
        <v>LA DIMORA DI METELLO</v>
      </c>
      <c r="F31" t="str">
        <f>IFERROR(__xludf.DUMMYFUNCTION("""COMPUTED_VALUE"""),"NICOLA RIVIELLO")</f>
        <v>NICOLA RIVIELLO</v>
      </c>
      <c r="G31" t="str">
        <f>IFERROR(__xludf.DUMMYFUNCTION("""COMPUTED_VALUE"""),"VIA CASALE 2/B")</f>
        <v>VIA CASALE 2/B</v>
      </c>
      <c r="H31" t="str">
        <f>IFERROR(__xludf.DUMMYFUNCTION("""COMPUTED_VALUE"""),"Matera")</f>
        <v>Matera</v>
      </c>
      <c r="I31">
        <f>IFERROR(__xludf.DUMMYFUNCTION("""COMPUTED_VALUE"""),159.0)</f>
        <v>159</v>
      </c>
      <c r="J31">
        <f>IFERROR(__xludf.DUMMYFUNCTION("""COMPUTED_VALUE"""),985.0)</f>
        <v>985</v>
      </c>
      <c r="K31" t="str">
        <f>IFERROR(__xludf.DUMMYFUNCTION("""COMPUTED_VALUE"""),"Italy")</f>
        <v>Italy</v>
      </c>
      <c r="L31">
        <f>IFERROR(__xludf.DUMMYFUNCTION("""COMPUTED_VALUE"""),1.0)</f>
        <v>1</v>
      </c>
      <c r="M31">
        <f>IFERROR(__xludf.DUMMYFUNCTION("""COMPUTED_VALUE"""),9.0)</f>
        <v>9</v>
      </c>
      <c r="N31">
        <f>IFERROR(__xludf.DUMMYFUNCTION("""COMPUTED_VALUE"""),42276.0)</f>
        <v>42276</v>
      </c>
    </row>
    <row r="32">
      <c r="A32">
        <f>IFERROR(__xludf.DUMMYFUNCTION("""COMPUTED_VALUE"""),473.0)</f>
        <v>473</v>
      </c>
      <c r="B32">
        <f>IFERROR(__xludf.DUMMYFUNCTION("""COMPUTED_VALUE"""),40.666379)</f>
        <v>40.666379</v>
      </c>
      <c r="C32">
        <f>IFERROR(__xludf.DUMMYFUNCTION("""COMPUTED_VALUE"""),16.6043199)</f>
        <v>16.6043199</v>
      </c>
      <c r="D32" t="str">
        <f>IFERROR(__xludf.DUMMYFUNCTION("""COMPUTED_VALUE"""),"Affittacamere")</f>
        <v>Affittacamere</v>
      </c>
      <c r="E32" t="str">
        <f>IFERROR(__xludf.DUMMYFUNCTION("""COMPUTED_VALUE"""),"LA CORTE VETERE")</f>
        <v>LA CORTE VETERE</v>
      </c>
      <c r="F32" t="str">
        <f>IFERROR(__xludf.DUMMYFUNCTION("""COMPUTED_VALUE"""),"LA CORTE VETERE SAS")</f>
        <v>LA CORTE VETERE SAS</v>
      </c>
      <c r="G32" t="str">
        <f>IFERROR(__xludf.DUMMYFUNCTION("""COMPUTED_VALUE"""),"VIA VETERE 70")</f>
        <v>VIA VETERE 70</v>
      </c>
      <c r="H32" t="str">
        <f>IFERROR(__xludf.DUMMYFUNCTION("""COMPUTED_VALUE"""),"Matera")</f>
        <v>Matera</v>
      </c>
      <c r="I32">
        <f>IFERROR(__xludf.DUMMYFUNCTION("""COMPUTED_VALUE"""),159.0)</f>
        <v>159</v>
      </c>
      <c r="J32">
        <f>IFERROR(__xludf.DUMMYFUNCTION("""COMPUTED_VALUE"""),828.0)</f>
        <v>828</v>
      </c>
      <c r="K32" t="str">
        <f>IFERROR(__xludf.DUMMYFUNCTION("""COMPUTED_VALUE"""),"Italy")</f>
        <v>Italy</v>
      </c>
      <c r="L32" t="str">
        <f>IFERROR(__xludf.DUMMYFUNCTION("""COMPUTED_VALUE"""),"")</f>
        <v/>
      </c>
      <c r="M32">
        <f>IFERROR(__xludf.DUMMYFUNCTION("""COMPUTED_VALUE"""),12.0)</f>
        <v>12</v>
      </c>
      <c r="N32">
        <f>IFERROR(__xludf.DUMMYFUNCTION("""COMPUTED_VALUE"""),42382.0)</f>
        <v>42382</v>
      </c>
    </row>
    <row r="33">
      <c r="A33">
        <f>IFERROR(__xludf.DUMMYFUNCTION("""COMPUTED_VALUE"""),474.0)</f>
        <v>474</v>
      </c>
      <c r="B33">
        <f>IFERROR(__xludf.DUMMYFUNCTION("""COMPUTED_VALUE"""),40.66218)</f>
        <v>40.66218</v>
      </c>
      <c r="C33">
        <f>IFERROR(__xludf.DUMMYFUNCTION("""COMPUTED_VALUE"""),16.610709)</f>
        <v>16.610709</v>
      </c>
      <c r="D33" t="str">
        <f>IFERROR(__xludf.DUMMYFUNCTION("""COMPUTED_VALUE"""),"Affittacamere")</f>
        <v>Affittacamere</v>
      </c>
      <c r="E33" t="str">
        <f>IFERROR(__xludf.DUMMYFUNCTION("""COMPUTED_VALUE"""),"LA NEVIERA NEI SASSI")</f>
        <v>LA NEVIERA NEI SASSI</v>
      </c>
      <c r="F33" t="str">
        <f>IFERROR(__xludf.DUMMYFUNCTION("""COMPUTED_VALUE"""),"PLASMATI ROSA")</f>
        <v>PLASMATI ROSA</v>
      </c>
      <c r="G33" t="str">
        <f>IFERROR(__xludf.DUMMYFUNCTION("""COMPUTED_VALUE"""),"VIA B.BUOZZI 7")</f>
        <v>VIA B.BUOZZI 7</v>
      </c>
      <c r="H33" t="str">
        <f>IFERROR(__xludf.DUMMYFUNCTION("""COMPUTED_VALUE"""),"Matera")</f>
        <v>Matera</v>
      </c>
      <c r="I33">
        <f>IFERROR(__xludf.DUMMYFUNCTION("""COMPUTED_VALUE"""),159.0)</f>
        <v>159</v>
      </c>
      <c r="J33">
        <f>IFERROR(__xludf.DUMMYFUNCTION("""COMPUTED_VALUE"""),194.0)</f>
        <v>194</v>
      </c>
      <c r="K33" t="str">
        <f>IFERROR(__xludf.DUMMYFUNCTION("""COMPUTED_VALUE"""),"Italy")</f>
        <v>Italy</v>
      </c>
      <c r="L33">
        <f>IFERROR(__xludf.DUMMYFUNCTION("""COMPUTED_VALUE"""),5.0)</f>
        <v>5</v>
      </c>
      <c r="M33">
        <f>IFERROR(__xludf.DUMMYFUNCTION("""COMPUTED_VALUE"""),11.0)</f>
        <v>11</v>
      </c>
      <c r="N33">
        <f>IFERROR(__xludf.DUMMYFUNCTION("""COMPUTED_VALUE"""),42209.0)</f>
        <v>42209</v>
      </c>
    </row>
    <row r="34">
      <c r="A34">
        <f>IFERROR(__xludf.DUMMYFUNCTION("""COMPUTED_VALUE"""),477.0)</f>
        <v>477</v>
      </c>
      <c r="B34">
        <f>IFERROR(__xludf.DUMMYFUNCTION("""COMPUTED_VALUE"""),40.6610264)</f>
        <v>40.6610264</v>
      </c>
      <c r="C34">
        <f>IFERROR(__xludf.DUMMYFUNCTION("""COMPUTED_VALUE"""),16.6120551)</f>
        <v>16.6120551</v>
      </c>
      <c r="D34" t="str">
        <f>IFERROR(__xludf.DUMMYFUNCTION("""COMPUTED_VALUE"""),"Affittacamere")</f>
        <v>Affittacamere</v>
      </c>
      <c r="E34" t="str">
        <f>IFERROR(__xludf.DUMMYFUNCTION("""COMPUTED_VALUE"""),"LAMIA")</f>
        <v>LAMIA</v>
      </c>
      <c r="F34" t="str">
        <f>IFERROR(__xludf.DUMMYFUNCTION("""COMPUTED_VALUE"""),"GIUSEPPE MASCIANDARO")</f>
        <v>GIUSEPPE MASCIANDARO</v>
      </c>
      <c r="G34" t="str">
        <f>IFERROR(__xludf.DUMMYFUNCTION("""COMPUTED_VALUE"""),"RECINTO V°LUCANA 14")</f>
        <v>RECINTO V°LUCANA 14</v>
      </c>
      <c r="H34" t="str">
        <f>IFERROR(__xludf.DUMMYFUNCTION("""COMPUTED_VALUE"""),"Matera")</f>
        <v>Matera</v>
      </c>
      <c r="I34">
        <f>IFERROR(__xludf.DUMMYFUNCTION("""COMPUTED_VALUE"""),159.0)</f>
        <v>159</v>
      </c>
      <c r="J34">
        <f>IFERROR(__xludf.DUMMYFUNCTION("""COMPUTED_VALUE"""),2538.0)</f>
        <v>2538</v>
      </c>
      <c r="K34" t="str">
        <f>IFERROR(__xludf.DUMMYFUNCTION("""COMPUTED_VALUE"""),"Italy")</f>
        <v>Italy</v>
      </c>
      <c r="L34">
        <f>IFERROR(__xludf.DUMMYFUNCTION("""COMPUTED_VALUE"""),28.0)</f>
        <v>28</v>
      </c>
      <c r="M34">
        <f>IFERROR(__xludf.DUMMYFUNCTION("""COMPUTED_VALUE"""),7.0)</f>
        <v>7</v>
      </c>
      <c r="N34">
        <f>IFERROR(__xludf.DUMMYFUNCTION("""COMPUTED_VALUE"""),42530.0)</f>
        <v>42530</v>
      </c>
    </row>
    <row r="35">
      <c r="A35">
        <f>IFERROR(__xludf.DUMMYFUNCTION("""COMPUTED_VALUE"""),479.0)</f>
        <v>479</v>
      </c>
      <c r="B35">
        <f>IFERROR(__xludf.DUMMYFUNCTION("""COMPUTED_VALUE"""),40.6627049)</f>
        <v>40.6627049</v>
      </c>
      <c r="C35">
        <f>IFERROR(__xludf.DUMMYFUNCTION("""COMPUTED_VALUE"""),16.6090223)</f>
        <v>16.6090223</v>
      </c>
      <c r="D35" t="str">
        <f>IFERROR(__xludf.DUMMYFUNCTION("""COMPUTED_VALUE"""),"Affittacamere")</f>
        <v>Affittacamere</v>
      </c>
      <c r="E35" t="str">
        <f>IFERROR(__xludf.DUMMYFUNCTION("""COMPUTED_VALUE"""),"LE DIMORE DELL'ACQUA")</f>
        <v>LE DIMORE DELL'ACQUA</v>
      </c>
      <c r="F35" t="str">
        <f>IFERROR(__xludf.DUMMYFUNCTION("""COMPUTED_VALUE"""),"CARELLA DOMENICO MATTEO")</f>
        <v>CARELLA DOMENICO MATTEO</v>
      </c>
      <c r="G35" t="str">
        <f>IFERROR(__xludf.DUMMYFUNCTION("""COMPUTED_VALUE"""),"Via Emanuele Duni 24")</f>
        <v>Via Emanuele Duni 24</v>
      </c>
      <c r="H35" t="str">
        <f>IFERROR(__xludf.DUMMYFUNCTION("""COMPUTED_VALUE"""),"Matera")</f>
        <v>Matera</v>
      </c>
      <c r="I35">
        <f>IFERROR(__xludf.DUMMYFUNCTION("""COMPUTED_VALUE"""),159.0)</f>
        <v>159</v>
      </c>
      <c r="J35">
        <f>IFERROR(__xludf.DUMMYFUNCTION("""COMPUTED_VALUE"""),3008.0)</f>
        <v>3008</v>
      </c>
      <c r="K35" t="str">
        <f>IFERROR(__xludf.DUMMYFUNCTION("""COMPUTED_VALUE"""),"Italy")</f>
        <v>Italy</v>
      </c>
      <c r="L35">
        <f>IFERROR(__xludf.DUMMYFUNCTION("""COMPUTED_VALUE"""),10.0)</f>
        <v>10</v>
      </c>
      <c r="M35">
        <f>IFERROR(__xludf.DUMMYFUNCTION("""COMPUTED_VALUE"""),14.0)</f>
        <v>14</v>
      </c>
      <c r="N35">
        <f>IFERROR(__xludf.DUMMYFUNCTION("""COMPUTED_VALUE"""),43088.0)</f>
        <v>43088</v>
      </c>
    </row>
    <row r="36">
      <c r="A36">
        <f>IFERROR(__xludf.DUMMYFUNCTION("""COMPUTED_VALUE"""),480.0)</f>
        <v>480</v>
      </c>
      <c r="B36">
        <f>IFERROR(__xludf.DUMMYFUNCTION("""COMPUTED_VALUE"""),40.664075)</f>
        <v>40.664075</v>
      </c>
      <c r="C36">
        <f>IFERROR(__xludf.DUMMYFUNCTION("""COMPUTED_VALUE"""),16.611649)</f>
        <v>16.611649</v>
      </c>
      <c r="D36" t="str">
        <f>IFERROR(__xludf.DUMMYFUNCTION("""COMPUTED_VALUE"""),"Affittacamere")</f>
        <v>Affittacamere</v>
      </c>
      <c r="E36" t="str">
        <f>IFERROR(__xludf.DUMMYFUNCTION("""COMPUTED_VALUE"""),"LE DIMORE DELL'IDRIS")</f>
        <v>LE DIMORE DELL'IDRIS</v>
      </c>
      <c r="F36" t="str">
        <f>IFERROR(__xludf.DUMMYFUNCTION("""COMPUTED_VALUE"""),"HOTEL&amp; RESORT SRL")</f>
        <v>HOTEL&amp; RESORT SRL</v>
      </c>
      <c r="G36" t="str">
        <f>IFERROR(__xludf.DUMMYFUNCTION("""COMPUTED_VALUE"""),"VIA MADONNA DELL'IDRIS 16-17")</f>
        <v>VIA MADONNA DELL'IDRIS 16-17</v>
      </c>
      <c r="H36" t="str">
        <f>IFERROR(__xludf.DUMMYFUNCTION("""COMPUTED_VALUE"""),"Matera")</f>
        <v>Matera</v>
      </c>
      <c r="I36">
        <f>IFERROR(__xludf.DUMMYFUNCTION("""COMPUTED_VALUE"""),159.0)</f>
        <v>159</v>
      </c>
      <c r="J36">
        <f>IFERROR(__xludf.DUMMYFUNCTION("""COMPUTED_VALUE"""),2155.0)</f>
        <v>2155</v>
      </c>
      <c r="K36" t="str">
        <f>IFERROR(__xludf.DUMMYFUNCTION("""COMPUTED_VALUE"""),"Italy")</f>
        <v>Italy</v>
      </c>
      <c r="L36">
        <f>IFERROR(__xludf.DUMMYFUNCTION("""COMPUTED_VALUE"""),2.0)</f>
        <v>2</v>
      </c>
      <c r="M36">
        <f>IFERROR(__xludf.DUMMYFUNCTION("""COMPUTED_VALUE"""),20.0)</f>
        <v>20</v>
      </c>
      <c r="N36">
        <f>IFERROR(__xludf.DUMMYFUNCTION("""COMPUTED_VALUE"""),42226.0)</f>
        <v>42226</v>
      </c>
    </row>
    <row r="37">
      <c r="A37">
        <f>IFERROR(__xludf.DUMMYFUNCTION("""COMPUTED_VALUE"""),482.0)</f>
        <v>482</v>
      </c>
      <c r="B37">
        <f>IFERROR(__xludf.DUMMYFUNCTION("""COMPUTED_VALUE"""),40.6658105695512)</f>
        <v>40.66581057</v>
      </c>
      <c r="C37">
        <f>IFERROR(__xludf.DUMMYFUNCTION("""COMPUTED_VALUE"""),16.6044763744598)</f>
        <v>16.60447637</v>
      </c>
      <c r="D37" t="str">
        <f>IFERROR(__xludf.DUMMYFUNCTION("""COMPUTED_VALUE"""),"Affittacamere")</f>
        <v>Affittacamere</v>
      </c>
      <c r="E37" t="str">
        <f>IFERROR(__xludf.DUMMYFUNCTION("""COMPUTED_VALUE"""),"LE LUMINARIE CITY")</f>
        <v>LE LUMINARIE CITY</v>
      </c>
      <c r="F37" t="str">
        <f>IFERROR(__xludf.DUMMYFUNCTION("""COMPUTED_VALUE"""),"ANGELA  LORELLA RUSCIGNO")</f>
        <v>ANGELA  LORELLA RUSCIGNO</v>
      </c>
      <c r="G37" t="str">
        <f>IFERROR(__xludf.DUMMYFUNCTION("""COMPUTED_VALUE"""),"PIAZZA MULINO 7 C")</f>
        <v>PIAZZA MULINO 7 C</v>
      </c>
      <c r="H37" t="str">
        <f>IFERROR(__xludf.DUMMYFUNCTION("""COMPUTED_VALUE"""),"Matera")</f>
        <v>Matera</v>
      </c>
      <c r="I37">
        <f>IFERROR(__xludf.DUMMYFUNCTION("""COMPUTED_VALUE"""),71.0)</f>
        <v>71</v>
      </c>
      <c r="J37">
        <f>IFERROR(__xludf.DUMMYFUNCTION("""COMPUTED_VALUE"""),1630.0)</f>
        <v>1630</v>
      </c>
      <c r="K37" t="str">
        <f>IFERROR(__xludf.DUMMYFUNCTION("""COMPUTED_VALUE"""),"Italy")</f>
        <v>Italy</v>
      </c>
      <c r="L37">
        <f>IFERROR(__xludf.DUMMYFUNCTION("""COMPUTED_VALUE"""),46.0)</f>
        <v>46</v>
      </c>
      <c r="M37">
        <f>IFERROR(__xludf.DUMMYFUNCTION("""COMPUTED_VALUE"""),7.0)</f>
        <v>7</v>
      </c>
      <c r="N37">
        <f>IFERROR(__xludf.DUMMYFUNCTION("""COMPUTED_VALUE"""),42429.0)</f>
        <v>42429</v>
      </c>
    </row>
    <row r="38">
      <c r="A38">
        <f>IFERROR(__xludf.DUMMYFUNCTION("""COMPUTED_VALUE"""),483.0)</f>
        <v>483</v>
      </c>
      <c r="B38">
        <f>IFERROR(__xludf.DUMMYFUNCTION("""COMPUTED_VALUE"""),40.668147)</f>
        <v>40.668147</v>
      </c>
      <c r="C38">
        <f>IFERROR(__xludf.DUMMYFUNCTION("""COMPUTED_VALUE"""),16.609776)</f>
        <v>16.609776</v>
      </c>
      <c r="D38" t="str">
        <f>IFERROR(__xludf.DUMMYFUNCTION("""COMPUTED_VALUE"""),"Affittacamere")</f>
        <v>Affittacamere</v>
      </c>
      <c r="E38" t="str">
        <f>IFERROR(__xludf.DUMMYFUNCTION("""COMPUTED_VALUE"""),"LE ORIGINI SRLS")</f>
        <v>LE ORIGINI SRLS</v>
      </c>
      <c r="F38" t="str">
        <f>IFERROR(__xludf.DUMMYFUNCTION("""COMPUTED_VALUE"""),"EUSTACHIO D'ERCOLE")</f>
        <v>EUSTACHIO D'ERCOLE</v>
      </c>
      <c r="G38" t="str">
        <f>IFERROR(__xludf.DUMMYFUNCTION("""COMPUTED_VALUE"""),"VIA D'ADDOZIO 5")</f>
        <v>VIA D'ADDOZIO 5</v>
      </c>
      <c r="H38" t="str">
        <f>IFERROR(__xludf.DUMMYFUNCTION("""COMPUTED_VALUE"""),"Matera")</f>
        <v>Matera</v>
      </c>
      <c r="I38">
        <f>IFERROR(__xludf.DUMMYFUNCTION("""COMPUTED_VALUE"""),159.0)</f>
        <v>159</v>
      </c>
      <c r="J38">
        <f>IFERROR(__xludf.DUMMYFUNCTION("""COMPUTED_VALUE"""),3837.0)</f>
        <v>3837</v>
      </c>
      <c r="K38" t="str">
        <f>IFERROR(__xludf.DUMMYFUNCTION("""COMPUTED_VALUE"""),"Italy")</f>
        <v>Italy</v>
      </c>
      <c r="L38">
        <f>IFERROR(__xludf.DUMMYFUNCTION("""COMPUTED_VALUE"""),11.0)</f>
        <v>11</v>
      </c>
      <c r="M38">
        <f>IFERROR(__xludf.DUMMYFUNCTION("""COMPUTED_VALUE"""),9.0)</f>
        <v>9</v>
      </c>
      <c r="N38">
        <f>IFERROR(__xludf.DUMMYFUNCTION("""COMPUTED_VALUE"""),42573.0)</f>
        <v>42573</v>
      </c>
    </row>
    <row r="39">
      <c r="A39">
        <f>IFERROR(__xludf.DUMMYFUNCTION("""COMPUTED_VALUE"""),484.0)</f>
        <v>484</v>
      </c>
      <c r="B39">
        <f>IFERROR(__xludf.DUMMYFUNCTION("""COMPUTED_VALUE"""),40.6672425)</f>
        <v>40.6672425</v>
      </c>
      <c r="C39">
        <f>IFERROR(__xludf.DUMMYFUNCTION("""COMPUTED_VALUE"""),16.6042634)</f>
        <v>16.6042634</v>
      </c>
      <c r="D39" t="str">
        <f>IFERROR(__xludf.DUMMYFUNCTION("""COMPUTED_VALUE"""),"Affittacamere")</f>
        <v>Affittacamere</v>
      </c>
      <c r="E39" t="str">
        <f>IFERROR(__xludf.DUMMYFUNCTION("""COMPUTED_VALUE"""),"LE VIE DEL CENTRO")</f>
        <v>LE VIE DEL CENTRO</v>
      </c>
      <c r="F39" t="str">
        <f>IFERROR(__xludf.DUMMYFUNCTION("""COMPUTED_VALUE"""),"CHIRO SAS")</f>
        <v>CHIRO SAS</v>
      </c>
      <c r="G39" t="str">
        <f>IFERROR(__xludf.DUMMYFUNCTION("""COMPUTED_VALUE"""),"VIA ROMA 46")</f>
        <v>VIA ROMA 46</v>
      </c>
      <c r="H39" t="str">
        <f>IFERROR(__xludf.DUMMYFUNCTION("""COMPUTED_VALUE"""),"Matera")</f>
        <v>Matera</v>
      </c>
      <c r="I39">
        <f>IFERROR(__xludf.DUMMYFUNCTION("""COMPUTED_VALUE"""),71.0)</f>
        <v>71</v>
      </c>
      <c r="J39">
        <f>IFERROR(__xludf.DUMMYFUNCTION("""COMPUTED_VALUE"""),3770.0)</f>
        <v>3770</v>
      </c>
      <c r="K39" t="str">
        <f>IFERROR(__xludf.DUMMYFUNCTION("""COMPUTED_VALUE"""),"Italy")</f>
        <v>Italy</v>
      </c>
      <c r="L39">
        <f>IFERROR(__xludf.DUMMYFUNCTION("""COMPUTED_VALUE"""),14.0)</f>
        <v>14</v>
      </c>
      <c r="M39">
        <f>IFERROR(__xludf.DUMMYFUNCTION("""COMPUTED_VALUE"""),8.0)</f>
        <v>8</v>
      </c>
      <c r="N39">
        <f>IFERROR(__xludf.DUMMYFUNCTION("""COMPUTED_VALUE"""),42129.0)</f>
        <v>42129</v>
      </c>
    </row>
    <row r="40">
      <c r="A40">
        <f>IFERROR(__xludf.DUMMYFUNCTION("""COMPUTED_VALUE"""),485.0)</f>
        <v>485</v>
      </c>
      <c r="B40">
        <f>IFERROR(__xludf.DUMMYFUNCTION("""COMPUTED_VALUE"""),40.6659605)</f>
        <v>40.6659605</v>
      </c>
      <c r="C40">
        <f>IFERROR(__xludf.DUMMYFUNCTION("""COMPUTED_VALUE"""),16.6095018)</f>
        <v>16.6095018</v>
      </c>
      <c r="D40" t="str">
        <f>IFERROR(__xludf.DUMMYFUNCTION("""COMPUTED_VALUE"""),"Affittacamere")</f>
        <v>Affittacamere</v>
      </c>
      <c r="E40" t="str">
        <f>IFERROR(__xludf.DUMMYFUNCTION("""COMPUTED_VALUE"""),"L'INCANTO")</f>
        <v>L'INCANTO</v>
      </c>
      <c r="F40" t="str">
        <f>IFERROR(__xludf.DUMMYFUNCTION("""COMPUTED_VALUE"""),"NUZZOLESE ONOFRIO")</f>
        <v>NUZZOLESE ONOFRIO</v>
      </c>
      <c r="G40" t="str">
        <f>IFERROR(__xludf.DUMMYFUNCTION("""COMPUTED_VALUE"""),"VIA DELLE BECCHERIE 91")</f>
        <v>VIA DELLE BECCHERIE 91</v>
      </c>
      <c r="H40" t="str">
        <f>IFERROR(__xludf.DUMMYFUNCTION("""COMPUTED_VALUE"""),"Matera")</f>
        <v>Matera</v>
      </c>
      <c r="I40">
        <f>IFERROR(__xludf.DUMMYFUNCTION("""COMPUTED_VALUE"""),159.0)</f>
        <v>159</v>
      </c>
      <c r="J40">
        <f>IFERROR(__xludf.DUMMYFUNCTION("""COMPUTED_VALUE"""),745.0)</f>
        <v>745</v>
      </c>
      <c r="K40" t="str">
        <f>IFERROR(__xludf.DUMMYFUNCTION("""COMPUTED_VALUE"""),"Italy")</f>
        <v>Italy</v>
      </c>
      <c r="L40">
        <f>IFERROR(__xludf.DUMMYFUNCTION("""COMPUTED_VALUE"""),26.0)</f>
        <v>26</v>
      </c>
      <c r="M40">
        <f>IFERROR(__xludf.DUMMYFUNCTION("""COMPUTED_VALUE"""),7.0)</f>
        <v>7</v>
      </c>
      <c r="N40">
        <f>IFERROR(__xludf.DUMMYFUNCTION("""COMPUTED_VALUE"""),42185.0)</f>
        <v>42185</v>
      </c>
    </row>
    <row r="41">
      <c r="A41">
        <f>IFERROR(__xludf.DUMMYFUNCTION("""COMPUTED_VALUE"""),486.0)</f>
        <v>486</v>
      </c>
      <c r="B41">
        <f>IFERROR(__xludf.DUMMYFUNCTION("""COMPUTED_VALUE"""),40.6583221)</f>
        <v>40.6583221</v>
      </c>
      <c r="C41">
        <f>IFERROR(__xludf.DUMMYFUNCTION("""COMPUTED_VALUE"""),16.6113357)</f>
        <v>16.6113357</v>
      </c>
      <c r="D41" t="str">
        <f>IFERROR(__xludf.DUMMYFUNCTION("""COMPUTED_VALUE"""),"Affittacamere")</f>
        <v>Affittacamere</v>
      </c>
      <c r="E41" t="str">
        <f>IFERROR(__xludf.DUMMYFUNCTION("""COMPUTED_VALUE"""),"LOCUS AMOENUS")</f>
        <v>LOCUS AMOENUS</v>
      </c>
      <c r="F41" t="str">
        <f>IFERROR(__xludf.DUMMYFUNCTION("""COMPUTED_VALUE"""),"PERRONE ELISABETTA")</f>
        <v>PERRONE ELISABETTA</v>
      </c>
      <c r="G41" t="str">
        <f>IFERROR(__xludf.DUMMYFUNCTION("""COMPUTED_VALUE"""),"CALATA RIDOLA 62")</f>
        <v>CALATA RIDOLA 62</v>
      </c>
      <c r="H41" t="str">
        <f>IFERROR(__xludf.DUMMYFUNCTION("""COMPUTED_VALUE"""),"Matera")</f>
        <v>Matera</v>
      </c>
      <c r="I41">
        <f>IFERROR(__xludf.DUMMYFUNCTION("""COMPUTED_VALUE"""),159.0)</f>
        <v>159</v>
      </c>
      <c r="J41">
        <f>IFERROR(__xludf.DUMMYFUNCTION("""COMPUTED_VALUE"""),1994.0)</f>
        <v>1994</v>
      </c>
      <c r="K41" t="str">
        <f>IFERROR(__xludf.DUMMYFUNCTION("""COMPUTED_VALUE"""),"Italy")</f>
        <v>Italy</v>
      </c>
      <c r="L41">
        <f>IFERROR(__xludf.DUMMYFUNCTION("""COMPUTED_VALUE"""),4.0)</f>
        <v>4</v>
      </c>
      <c r="M41">
        <f>IFERROR(__xludf.DUMMYFUNCTION("""COMPUTED_VALUE"""),6.0)</f>
        <v>6</v>
      </c>
      <c r="N41">
        <f>IFERROR(__xludf.DUMMYFUNCTION("""COMPUTED_VALUE"""),42516.0)</f>
        <v>42516</v>
      </c>
    </row>
    <row r="42">
      <c r="A42">
        <f>IFERROR(__xludf.DUMMYFUNCTION("""COMPUTED_VALUE"""),487.0)</f>
        <v>487</v>
      </c>
      <c r="B42">
        <f>IFERROR(__xludf.DUMMYFUNCTION("""COMPUTED_VALUE"""),40.6632703)</f>
        <v>40.6632703</v>
      </c>
      <c r="C42">
        <f>IFERROR(__xludf.DUMMYFUNCTION("""COMPUTED_VALUE"""),16.6092022)</f>
        <v>16.6092022</v>
      </c>
      <c r="D42" t="str">
        <f>IFERROR(__xludf.DUMMYFUNCTION("""COMPUTED_VALUE"""),"Affittacamere")</f>
        <v>Affittacamere</v>
      </c>
      <c r="E42" t="str">
        <f>IFERROR(__xludf.DUMMYFUNCTION("""COMPUTED_VALUE"""),"MARY")</f>
        <v>MARY</v>
      </c>
      <c r="F42" t="str">
        <f>IFERROR(__xludf.DUMMYFUNCTION("""COMPUTED_VALUE"""),"MARIA ROSARIA ROBERTI")</f>
        <v>MARIA ROSARIA ROBERTI</v>
      </c>
      <c r="G42" t="str">
        <f>IFERROR(__xludf.DUMMYFUNCTION("""COMPUTED_VALUE"""),"VICO ii E. DUNI 20")</f>
        <v>VICO ii E. DUNI 20</v>
      </c>
      <c r="H42" t="str">
        <f>IFERROR(__xludf.DUMMYFUNCTION("""COMPUTED_VALUE"""),"Matera")</f>
        <v>Matera</v>
      </c>
      <c r="I42">
        <f>IFERROR(__xludf.DUMMYFUNCTION("""COMPUTED_VALUE"""),159.0)</f>
        <v>159</v>
      </c>
      <c r="J42">
        <f>IFERROR(__xludf.DUMMYFUNCTION("""COMPUTED_VALUE"""),2921.0)</f>
        <v>2921</v>
      </c>
      <c r="K42" t="str">
        <f>IFERROR(__xludf.DUMMYFUNCTION("""COMPUTED_VALUE"""),"Italy")</f>
        <v>Italy</v>
      </c>
      <c r="L42">
        <f>IFERROR(__xludf.DUMMYFUNCTION("""COMPUTED_VALUE"""),1.0)</f>
        <v>1</v>
      </c>
      <c r="M42">
        <f>IFERROR(__xludf.DUMMYFUNCTION("""COMPUTED_VALUE"""),6.0)</f>
        <v>6</v>
      </c>
      <c r="N42">
        <f>IFERROR(__xludf.DUMMYFUNCTION("""COMPUTED_VALUE"""),42474.0)</f>
        <v>42474</v>
      </c>
    </row>
    <row r="43">
      <c r="A43">
        <f>IFERROR(__xludf.DUMMYFUNCTION("""COMPUTED_VALUE"""),488.0)</f>
        <v>488</v>
      </c>
      <c r="B43">
        <f>IFERROR(__xludf.DUMMYFUNCTION("""COMPUTED_VALUE"""),40.6752412)</f>
        <v>40.6752412</v>
      </c>
      <c r="C43">
        <f>IFERROR(__xludf.DUMMYFUNCTION("""COMPUTED_VALUE"""),16.5779617)</f>
        <v>16.5779617</v>
      </c>
      <c r="D43" t="str">
        <f>IFERROR(__xludf.DUMMYFUNCTION("""COMPUTED_VALUE"""),"Affittacamere")</f>
        <v>Affittacamere</v>
      </c>
      <c r="E43" t="str">
        <f>IFERROR(__xludf.DUMMYFUNCTION("""COMPUTED_VALUE"""),"MASSERIA SANTA LUCIA")</f>
        <v>MASSERIA SANTA LUCIA</v>
      </c>
      <c r="F43" t="str">
        <f>IFERROR(__xludf.DUMMYFUNCTION("""COMPUTED_VALUE"""),"MASSERIA S. LUCIA S.A.S.")</f>
        <v>MASSERIA S. LUCIA S.A.S.</v>
      </c>
      <c r="G43" t="str">
        <f>IFERROR(__xludf.DUMMYFUNCTION("""COMPUTED_VALUE"""),"VIA DEI MESTIERI")</f>
        <v>VIA DEI MESTIERI</v>
      </c>
      <c r="H43" t="str">
        <f>IFERROR(__xludf.DUMMYFUNCTION("""COMPUTED_VALUE"""),"Matera")</f>
        <v>Matera</v>
      </c>
      <c r="I43">
        <f>IFERROR(__xludf.DUMMYFUNCTION("""COMPUTED_VALUE"""),67.0)</f>
        <v>67</v>
      </c>
      <c r="J43">
        <f>IFERROR(__xludf.DUMMYFUNCTION("""COMPUTED_VALUE"""),4071.0)</f>
        <v>4071</v>
      </c>
      <c r="K43" t="str">
        <f>IFERROR(__xludf.DUMMYFUNCTION("""COMPUTED_VALUE"""),"Italy")</f>
        <v>Italy</v>
      </c>
      <c r="L43">
        <f>IFERROR(__xludf.DUMMYFUNCTION("""COMPUTED_VALUE"""),2.0)</f>
        <v>2</v>
      </c>
      <c r="M43">
        <f>IFERROR(__xludf.DUMMYFUNCTION("""COMPUTED_VALUE"""),14.0)</f>
        <v>14</v>
      </c>
      <c r="N43">
        <f>IFERROR(__xludf.DUMMYFUNCTION("""COMPUTED_VALUE"""),41744.0)</f>
        <v>41744</v>
      </c>
    </row>
    <row r="44">
      <c r="A44">
        <f>IFERROR(__xludf.DUMMYFUNCTION("""COMPUTED_VALUE"""),489.0)</f>
        <v>489</v>
      </c>
      <c r="B44">
        <f>IFERROR(__xludf.DUMMYFUNCTION("""COMPUTED_VALUE"""),40.666329)</f>
        <v>40.666329</v>
      </c>
      <c r="C44">
        <f>IFERROR(__xludf.DUMMYFUNCTION("""COMPUTED_VALUE"""),16.613107)</f>
        <v>16.613107</v>
      </c>
      <c r="D44" t="str">
        <f>IFERROR(__xludf.DUMMYFUNCTION("""COMPUTED_VALUE"""),"Affittacamere")</f>
        <v>Affittacamere</v>
      </c>
      <c r="E44" t="str">
        <f>IFERROR(__xludf.DUMMYFUNCTION("""COMPUTED_VALUE"""),"MATA SUITE")</f>
        <v>MATA SUITE</v>
      </c>
      <c r="F44" t="str">
        <f>IFERROR(__xludf.DUMMYFUNCTION("""COMPUTED_VALUE"""),"FERULLI SALVATORE")</f>
        <v>FERULLI SALVATORE</v>
      </c>
      <c r="G44" t="str">
        <f>IFERROR(__xludf.DUMMYFUNCTION("""COMPUTED_VALUE"""),"RECINTO SANTA MARIA 11")</f>
        <v>RECINTO SANTA MARIA 11</v>
      </c>
      <c r="H44" t="str">
        <f>IFERROR(__xludf.DUMMYFUNCTION("""COMPUTED_VALUE"""),"Matera")</f>
        <v>Matera</v>
      </c>
      <c r="I44">
        <f>IFERROR(__xludf.DUMMYFUNCTION("""COMPUTED_VALUE"""),159.0)</f>
        <v>159</v>
      </c>
      <c r="J44">
        <f>IFERROR(__xludf.DUMMYFUNCTION("""COMPUTED_VALUE"""),1334.0)</f>
        <v>1334</v>
      </c>
      <c r="K44" t="str">
        <f>IFERROR(__xludf.DUMMYFUNCTION("""COMPUTED_VALUE"""),"Italy")</f>
        <v>Italy</v>
      </c>
      <c r="L44">
        <f>IFERROR(__xludf.DUMMYFUNCTION("""COMPUTED_VALUE"""),1.0)</f>
        <v>1</v>
      </c>
      <c r="M44">
        <f>IFERROR(__xludf.DUMMYFUNCTION("""COMPUTED_VALUE"""),2.0)</f>
        <v>2</v>
      </c>
      <c r="N44">
        <f>IFERROR(__xludf.DUMMYFUNCTION("""COMPUTED_VALUE"""),42587.0)</f>
        <v>42587</v>
      </c>
    </row>
    <row r="45">
      <c r="A45">
        <f>IFERROR(__xludf.DUMMYFUNCTION("""COMPUTED_VALUE"""),490.0)</f>
        <v>490</v>
      </c>
      <c r="B45">
        <f>IFERROR(__xludf.DUMMYFUNCTION("""COMPUTED_VALUE"""),40.6665147)</f>
        <v>40.6665147</v>
      </c>
      <c r="C45">
        <f>IFERROR(__xludf.DUMMYFUNCTION("""COMPUTED_VALUE"""),16.6036875)</f>
        <v>16.6036875</v>
      </c>
      <c r="D45" t="str">
        <f>IFERROR(__xludf.DUMMYFUNCTION("""COMPUTED_VALUE"""),"Affittacamere")</f>
        <v>Affittacamere</v>
      </c>
      <c r="E45" t="str">
        <f>IFERROR(__xludf.DUMMYFUNCTION("""COMPUTED_VALUE"""),"MATERA IN VACANZA SRLS")</f>
        <v>MATERA IN VACANZA SRLS</v>
      </c>
      <c r="F45" t="str">
        <f>IFERROR(__xludf.DUMMYFUNCTION("""COMPUTED_VALUE"""),"MATERA IN VACANZA SRLS")</f>
        <v>MATERA IN VACANZA SRLS</v>
      </c>
      <c r="G45" t="str">
        <f>IFERROR(__xludf.DUMMYFUNCTION("""COMPUTED_VALUE"""),"VIA DON MINZONI 10")</f>
        <v>VIA DON MINZONI 10</v>
      </c>
      <c r="H45" t="str">
        <f>IFERROR(__xludf.DUMMYFUNCTION("""COMPUTED_VALUE"""),"Matera")</f>
        <v>Matera</v>
      </c>
      <c r="I45">
        <f>IFERROR(__xludf.DUMMYFUNCTION("""COMPUTED_VALUE"""),71.0)</f>
        <v>71</v>
      </c>
      <c r="J45">
        <f>IFERROR(__xludf.DUMMYFUNCTION("""COMPUTED_VALUE"""),479.0)</f>
        <v>479</v>
      </c>
      <c r="K45" t="str">
        <f>IFERROR(__xludf.DUMMYFUNCTION("""COMPUTED_VALUE"""),"Italy")</f>
        <v>Italy</v>
      </c>
      <c r="L45">
        <f>IFERROR(__xludf.DUMMYFUNCTION("""COMPUTED_VALUE"""),30.0)</f>
        <v>30</v>
      </c>
      <c r="M45">
        <f>IFERROR(__xludf.DUMMYFUNCTION("""COMPUTED_VALUE"""),11.0)</f>
        <v>11</v>
      </c>
      <c r="N45">
        <f>IFERROR(__xludf.DUMMYFUNCTION("""COMPUTED_VALUE"""),42425.0)</f>
        <v>42425</v>
      </c>
    </row>
    <row r="46">
      <c r="A46">
        <f>IFERROR(__xludf.DUMMYFUNCTION("""COMPUTED_VALUE"""),491.0)</f>
        <v>491</v>
      </c>
      <c r="B46">
        <f>IFERROR(__xludf.DUMMYFUNCTION("""COMPUTED_VALUE"""),40.673198)</f>
        <v>40.673198</v>
      </c>
      <c r="C46">
        <f>IFERROR(__xludf.DUMMYFUNCTION("""COMPUTED_VALUE"""),16.584746)</f>
        <v>16.584746</v>
      </c>
      <c r="D46" t="str">
        <f>IFERROR(__xludf.DUMMYFUNCTION("""COMPUTED_VALUE"""),"Affittacamere")</f>
        <v>Affittacamere</v>
      </c>
      <c r="E46" t="str">
        <f>IFERROR(__xludf.DUMMYFUNCTION("""COMPUTED_VALUE"""),"MATERA SASSI ROOMS21/B")</f>
        <v>MATERA SASSI ROOMS21/B</v>
      </c>
      <c r="F46" t="str">
        <f>IFERROR(__xludf.DUMMYFUNCTION("""COMPUTED_VALUE"""),"IMECO-GAUDIANOI SRL")</f>
        <v>IMECO-GAUDIANOI SRL</v>
      </c>
      <c r="G46" t="str">
        <f>IFERROR(__xludf.DUMMYFUNCTION("""COMPUTED_VALUE"""),"VIA BENEDETTO CROCE 21/A")</f>
        <v>VIA BENEDETTO CROCE 21/A</v>
      </c>
      <c r="H46" t="str">
        <f>IFERROR(__xludf.DUMMYFUNCTION("""COMPUTED_VALUE"""),"Matera")</f>
        <v>Matera</v>
      </c>
      <c r="I46">
        <f>IFERROR(__xludf.DUMMYFUNCTION("""COMPUTED_VALUE"""),68.0)</f>
        <v>68</v>
      </c>
      <c r="J46">
        <f>IFERROR(__xludf.DUMMYFUNCTION("""COMPUTED_VALUE"""),1053.0)</f>
        <v>1053</v>
      </c>
      <c r="K46" t="str">
        <f>IFERROR(__xludf.DUMMYFUNCTION("""COMPUTED_VALUE"""),"Italy")</f>
        <v>Italy</v>
      </c>
      <c r="L46">
        <f>IFERROR(__xludf.DUMMYFUNCTION("""COMPUTED_VALUE"""),64.0)</f>
        <v>64</v>
      </c>
      <c r="M46">
        <f>IFERROR(__xludf.DUMMYFUNCTION("""COMPUTED_VALUE"""),6.0)</f>
        <v>6</v>
      </c>
      <c r="N46">
        <f>IFERROR(__xludf.DUMMYFUNCTION("""COMPUTED_VALUE"""),42362.0)</f>
        <v>42362</v>
      </c>
    </row>
    <row r="47">
      <c r="A47">
        <f>IFERROR(__xludf.DUMMYFUNCTION("""COMPUTED_VALUE"""),492.0)</f>
        <v>492</v>
      </c>
      <c r="B47">
        <f>IFERROR(__xludf.DUMMYFUNCTION("""COMPUTED_VALUE"""),40.673198)</f>
        <v>40.673198</v>
      </c>
      <c r="C47">
        <f>IFERROR(__xludf.DUMMYFUNCTION("""COMPUTED_VALUE"""),16.584746)</f>
        <v>16.584746</v>
      </c>
      <c r="D47" t="str">
        <f>IFERROR(__xludf.DUMMYFUNCTION("""COMPUTED_VALUE"""),"Affittacamere")</f>
        <v>Affittacamere</v>
      </c>
      <c r="E47" t="str">
        <f>IFERROR(__xludf.DUMMYFUNCTION("""COMPUTED_VALUE"""),"MATERA SASSI ROOMS 21/A")</f>
        <v>MATERA SASSI ROOMS 21/A</v>
      </c>
      <c r="F47" t="str">
        <f>IFERROR(__xludf.DUMMYFUNCTION("""COMPUTED_VALUE"""),"IMECO-GAUDIANOI SRL")</f>
        <v>IMECO-GAUDIANOI SRL</v>
      </c>
      <c r="G47" t="str">
        <f>IFERROR(__xludf.DUMMYFUNCTION("""COMPUTED_VALUE"""),"VIA BENEDETTO CROCE 21/A")</f>
        <v>VIA BENEDETTO CROCE 21/A</v>
      </c>
      <c r="H47" t="str">
        <f>IFERROR(__xludf.DUMMYFUNCTION("""COMPUTED_VALUE"""),"Matera")</f>
        <v>Matera</v>
      </c>
      <c r="I47">
        <f>IFERROR(__xludf.DUMMYFUNCTION("""COMPUTED_VALUE"""),68.0)</f>
        <v>68</v>
      </c>
      <c r="J47">
        <f>IFERROR(__xludf.DUMMYFUNCTION("""COMPUTED_VALUE"""),1033.0)</f>
        <v>1033</v>
      </c>
      <c r="K47" t="str">
        <f>IFERROR(__xludf.DUMMYFUNCTION("""COMPUTED_VALUE"""),"Italy")</f>
        <v>Italy</v>
      </c>
      <c r="L47">
        <f>IFERROR(__xludf.DUMMYFUNCTION("""COMPUTED_VALUE"""),64.0)</f>
        <v>64</v>
      </c>
      <c r="M47">
        <f>IFERROR(__xludf.DUMMYFUNCTION("""COMPUTED_VALUE"""),5.0)</f>
        <v>5</v>
      </c>
      <c r="N47">
        <f>IFERROR(__xludf.DUMMYFUNCTION("""COMPUTED_VALUE"""),42361.0)</f>
        <v>42361</v>
      </c>
    </row>
    <row r="48">
      <c r="A48">
        <f>IFERROR(__xludf.DUMMYFUNCTION("""COMPUTED_VALUE"""),493.0)</f>
        <v>493</v>
      </c>
      <c r="B48">
        <f>IFERROR(__xludf.DUMMYFUNCTION("""COMPUTED_VALUE"""),40.6642679)</f>
        <v>40.6642679</v>
      </c>
      <c r="C48">
        <f>IFERROR(__xludf.DUMMYFUNCTION("""COMPUTED_VALUE"""),16.6036248)</f>
        <v>16.6036248</v>
      </c>
      <c r="D48" t="str">
        <f>IFERROR(__xludf.DUMMYFUNCTION("""COMPUTED_VALUE"""),"Affittacamere")</f>
        <v>Affittacamere</v>
      </c>
      <c r="E48" t="str">
        <f>IFERROR(__xludf.DUMMYFUNCTION("""COMPUTED_VALUE"""),"MYRICAE")</f>
        <v>MYRICAE</v>
      </c>
      <c r="F48" t="str">
        <f>IFERROR(__xludf.DUMMYFUNCTION("""COMPUTED_VALUE"""),"MARTINA MARIA RIPOLI")</f>
        <v>MARTINA MARIA RIPOLI</v>
      </c>
      <c r="G48" t="str">
        <f>IFERROR(__xludf.DUMMYFUNCTION("""COMPUTED_VALUE"""),"VIA GRAMSCI 4")</f>
        <v>VIA GRAMSCI 4</v>
      </c>
      <c r="H48" t="str">
        <f>IFERROR(__xludf.DUMMYFUNCTION("""COMPUTED_VALUE"""),"Matera")</f>
        <v>Matera</v>
      </c>
      <c r="I48">
        <f>IFERROR(__xludf.DUMMYFUNCTION("""COMPUTED_VALUE"""),71.0)</f>
        <v>71</v>
      </c>
      <c r="J48">
        <f>IFERROR(__xludf.DUMMYFUNCTION("""COMPUTED_VALUE"""),461.0)</f>
        <v>461</v>
      </c>
      <c r="K48" t="str">
        <f>IFERROR(__xludf.DUMMYFUNCTION("""COMPUTED_VALUE"""),"Italy")</f>
        <v>Italy</v>
      </c>
      <c r="L48">
        <f>IFERROR(__xludf.DUMMYFUNCTION("""COMPUTED_VALUE"""),7.0)</f>
        <v>7</v>
      </c>
      <c r="M48">
        <f>IFERROR(__xludf.DUMMYFUNCTION("""COMPUTED_VALUE"""),10.0)</f>
        <v>10</v>
      </c>
      <c r="N48">
        <f>IFERROR(__xludf.DUMMYFUNCTION("""COMPUTED_VALUE"""),42453.0)</f>
        <v>42453</v>
      </c>
    </row>
    <row r="49">
      <c r="A49">
        <f>IFERROR(__xludf.DUMMYFUNCTION("""COMPUTED_VALUE"""),494.0)</f>
        <v>494</v>
      </c>
      <c r="B49">
        <f>IFERROR(__xludf.DUMMYFUNCTION("""COMPUTED_VALUE"""),40.6661359)</f>
        <v>40.6661359</v>
      </c>
      <c r="C49">
        <f>IFERROR(__xludf.DUMMYFUNCTION("""COMPUTED_VALUE"""),16.6117184)</f>
        <v>16.6117184</v>
      </c>
      <c r="D49" t="str">
        <f>IFERROR(__xludf.DUMMYFUNCTION("""COMPUTED_VALUE"""),"Affittacamere")</f>
        <v>Affittacamere</v>
      </c>
      <c r="E49" t="str">
        <f>IFERROR(__xludf.DUMMYFUNCTION("""COMPUTED_VALUE"""),"AFFITTACAMERE NEL MURO")</f>
        <v>AFFITTACAMERE NEL MURO</v>
      </c>
      <c r="F49" t="str">
        <f>IFERROR(__xludf.DUMMYFUNCTION("""COMPUTED_VALUE"""),"CIARFAGLIA GIUSEPPE")</f>
        <v>CIARFAGLIA GIUSEPPE</v>
      </c>
      <c r="G49" t="str">
        <f>IFERROR(__xludf.DUMMYFUNCTION("""COMPUTED_VALUE"""),"P.TTA SAN BIAGIO 17/18")</f>
        <v>P.TTA SAN BIAGIO 17/18</v>
      </c>
      <c r="H49" t="str">
        <f>IFERROR(__xludf.DUMMYFUNCTION("""COMPUTED_VALUE"""),"Matera")</f>
        <v>Matera</v>
      </c>
      <c r="I49">
        <f>IFERROR(__xludf.DUMMYFUNCTION("""COMPUTED_VALUE"""),159.0)</f>
        <v>159</v>
      </c>
      <c r="J49" t="str">
        <f>IFERROR(__xludf.DUMMYFUNCTION("""COMPUTED_VALUE"""),"")</f>
        <v/>
      </c>
      <c r="K49" t="str">
        <f>IFERROR(__xludf.DUMMYFUNCTION("""COMPUTED_VALUE"""),"Italy")</f>
        <v>Italy</v>
      </c>
      <c r="L49">
        <f>IFERROR(__xludf.DUMMYFUNCTION("""COMPUTED_VALUE"""),8.0)</f>
        <v>8</v>
      </c>
      <c r="M49">
        <f>IFERROR(__xludf.DUMMYFUNCTION("""COMPUTED_VALUE"""),4.0)</f>
        <v>4</v>
      </c>
      <c r="N49">
        <f>IFERROR(__xludf.DUMMYFUNCTION("""COMPUTED_VALUE"""),42282.0)</f>
        <v>42282</v>
      </c>
    </row>
    <row r="50">
      <c r="A50">
        <f>IFERROR(__xludf.DUMMYFUNCTION("""COMPUTED_VALUE"""),495.0)</f>
        <v>495</v>
      </c>
      <c r="B50">
        <f>IFERROR(__xludf.DUMMYFUNCTION("""COMPUTED_VALUE"""),40.6715972)</f>
        <v>40.6715972</v>
      </c>
      <c r="C50">
        <f>IFERROR(__xludf.DUMMYFUNCTION("""COMPUTED_VALUE"""),16.6041489)</f>
        <v>16.6041489</v>
      </c>
      <c r="D50" t="str">
        <f>IFERROR(__xludf.DUMMYFUNCTION("""COMPUTED_VALUE"""),"Affittacamere")</f>
        <v>Affittacamere</v>
      </c>
      <c r="E50" t="str">
        <f>IFERROR(__xludf.DUMMYFUNCTION("""COMPUTED_VALUE"""),"NONNA ROSARIA AFFITTACAMERE")</f>
        <v>NONNA ROSARIA AFFITTACAMERE</v>
      </c>
      <c r="F50" t="str">
        <f>IFERROR(__xludf.DUMMYFUNCTION("""COMPUTED_VALUE"""),"TARASCO MARIO")</f>
        <v>TARASCO MARIO</v>
      </c>
      <c r="G50" t="str">
        <f>IFERROR(__xludf.DUMMYFUNCTION("""COMPUTED_VALUE"""),"VIA ANNUNZIATELLA 153")</f>
        <v>VIA ANNUNZIATELLA 153</v>
      </c>
      <c r="H50" t="str">
        <f>IFERROR(__xludf.DUMMYFUNCTION("""COMPUTED_VALUE"""),"Matera")</f>
        <v>Matera</v>
      </c>
      <c r="I50">
        <f>IFERROR(__xludf.DUMMYFUNCTION("""COMPUTED_VALUE"""),71.0)</f>
        <v>71</v>
      </c>
      <c r="J50">
        <f>IFERROR(__xludf.DUMMYFUNCTION("""COMPUTED_VALUE"""),58.0)</f>
        <v>58</v>
      </c>
      <c r="K50" t="str">
        <f>IFERROR(__xludf.DUMMYFUNCTION("""COMPUTED_VALUE"""),"Italy")</f>
        <v>Italy</v>
      </c>
      <c r="L50">
        <f>IFERROR(__xludf.DUMMYFUNCTION("""COMPUTED_VALUE"""),4.0)</f>
        <v>4</v>
      </c>
      <c r="M50">
        <f>IFERROR(__xludf.DUMMYFUNCTION("""COMPUTED_VALUE"""),7.0)</f>
        <v>7</v>
      </c>
      <c r="N50">
        <f>IFERROR(__xludf.DUMMYFUNCTION("""COMPUTED_VALUE"""),42411.0)</f>
        <v>42411</v>
      </c>
    </row>
    <row r="51">
      <c r="A51">
        <f>IFERROR(__xludf.DUMMYFUNCTION("""COMPUTED_VALUE"""),496.0)</f>
        <v>496</v>
      </c>
      <c r="B51">
        <f>IFERROR(__xludf.DUMMYFUNCTION("""COMPUTED_VALUE"""),40.6683262)</f>
        <v>40.6683262</v>
      </c>
      <c r="C51">
        <f>IFERROR(__xludf.DUMMYFUNCTION("""COMPUTED_VALUE"""),16.609136)</f>
        <v>16.609136</v>
      </c>
      <c r="D51" t="str">
        <f>IFERROR(__xludf.DUMMYFUNCTION("""COMPUTED_VALUE"""),"Affittacamere")</f>
        <v>Affittacamere</v>
      </c>
      <c r="E51" t="str">
        <f>IFERROR(__xludf.DUMMYFUNCTION("""COMPUTED_VALUE"""),"PALAZZO DEGLI ABATI")</f>
        <v>PALAZZO DEGLI ABATI</v>
      </c>
      <c r="F51" t="str">
        <f>IFERROR(__xludf.DUMMYFUNCTION("""COMPUTED_VALUE"""),"ANDRULLI VITA MARIA")</f>
        <v>ANDRULLI VITA MARIA</v>
      </c>
      <c r="G51" t="str">
        <f>IFERROR(__xludf.DUMMYFUNCTION("""COMPUTED_VALUE"""),"P.ZZA S. PIETRO BARISANO 27-28-29")</f>
        <v>P.ZZA S. PIETRO BARISANO 27-28-29</v>
      </c>
      <c r="H51" t="str">
        <f>IFERROR(__xludf.DUMMYFUNCTION("""COMPUTED_VALUE"""),"Matera")</f>
        <v>Matera</v>
      </c>
      <c r="I51">
        <f>IFERROR(__xludf.DUMMYFUNCTION("""COMPUTED_VALUE"""),159.0)</f>
        <v>159</v>
      </c>
      <c r="J51">
        <f>IFERROR(__xludf.DUMMYFUNCTION("""COMPUTED_VALUE"""),130.0)</f>
        <v>130</v>
      </c>
      <c r="K51" t="str">
        <f>IFERROR(__xludf.DUMMYFUNCTION("""COMPUTED_VALUE"""),"Italy")</f>
        <v>Italy</v>
      </c>
      <c r="L51">
        <f>IFERROR(__xludf.DUMMYFUNCTION("""COMPUTED_VALUE"""),5.0)</f>
        <v>5</v>
      </c>
      <c r="M51">
        <f>IFERROR(__xludf.DUMMYFUNCTION("""COMPUTED_VALUE"""),14.0)</f>
        <v>14</v>
      </c>
      <c r="N51">
        <f>IFERROR(__xludf.DUMMYFUNCTION("""COMPUTED_VALUE"""),41509.0)</f>
        <v>41509</v>
      </c>
    </row>
    <row r="52">
      <c r="A52">
        <f>IFERROR(__xludf.DUMMYFUNCTION("""COMPUTED_VALUE"""),498.0)</f>
        <v>498</v>
      </c>
      <c r="B52">
        <f>IFERROR(__xludf.DUMMYFUNCTION("""COMPUTED_VALUE"""),40.6659777)</f>
        <v>40.6659777</v>
      </c>
      <c r="C52">
        <f>IFERROR(__xludf.DUMMYFUNCTION("""COMPUTED_VALUE"""),16.6044848)</f>
        <v>16.6044848</v>
      </c>
      <c r="D52" t="str">
        <f>IFERROR(__xludf.DUMMYFUNCTION("""COMPUTED_VALUE"""),"Affittacamere")</f>
        <v>Affittacamere</v>
      </c>
      <c r="E52" t="str">
        <f>IFERROR(__xludf.DUMMYFUNCTION("""COMPUTED_VALUE"""),"PIAZZA MULINO 26")</f>
        <v>PIAZZA MULINO 26</v>
      </c>
      <c r="F52" t="str">
        <f>IFERROR(__xludf.DUMMYFUNCTION("""COMPUTED_VALUE"""),"OPERA SRL")</f>
        <v>OPERA SRL</v>
      </c>
      <c r="G52" t="str">
        <f>IFERROR(__xludf.DUMMYFUNCTION("""COMPUTED_VALUE"""),"PIAZZA MULINO 26")</f>
        <v>PIAZZA MULINO 26</v>
      </c>
      <c r="H52" t="str">
        <f>IFERROR(__xludf.DUMMYFUNCTION("""COMPUTED_VALUE"""),"Matera")</f>
        <v>Matera</v>
      </c>
      <c r="I52">
        <f>IFERROR(__xludf.DUMMYFUNCTION("""COMPUTED_VALUE"""),71.0)</f>
        <v>71</v>
      </c>
      <c r="J52">
        <f>IFERROR(__xludf.DUMMYFUNCTION("""COMPUTED_VALUE"""),1630.0)</f>
        <v>1630</v>
      </c>
      <c r="K52" t="str">
        <f>IFERROR(__xludf.DUMMYFUNCTION("""COMPUTED_VALUE"""),"Italy")</f>
        <v>Italy</v>
      </c>
      <c r="L52">
        <f>IFERROR(__xludf.DUMMYFUNCTION("""COMPUTED_VALUE"""),115.0)</f>
        <v>115</v>
      </c>
      <c r="M52">
        <f>IFERROR(__xludf.DUMMYFUNCTION("""COMPUTED_VALUE"""),3.0)</f>
        <v>3</v>
      </c>
      <c r="N52">
        <f>IFERROR(__xludf.DUMMYFUNCTION("""COMPUTED_VALUE"""),42349.0)</f>
        <v>42349</v>
      </c>
    </row>
    <row r="53">
      <c r="A53">
        <f>IFERROR(__xludf.DUMMYFUNCTION("""COMPUTED_VALUE"""),499.0)</f>
        <v>499</v>
      </c>
      <c r="B53">
        <f>IFERROR(__xludf.DUMMYFUNCTION("""COMPUTED_VALUE"""),40.6780042)</f>
        <v>40.6780042</v>
      </c>
      <c r="C53">
        <f>IFERROR(__xludf.DUMMYFUNCTION("""COMPUTED_VALUE"""),16.5946497)</f>
        <v>16.5946497</v>
      </c>
      <c r="D53" t="str">
        <f>IFERROR(__xludf.DUMMYFUNCTION("""COMPUTED_VALUE"""),"Affittacamere")</f>
        <v>Affittacamere</v>
      </c>
      <c r="E53" t="str">
        <f>IFERROR(__xludf.DUMMYFUNCTION("""COMPUTED_VALUE"""),"PLANET SERVICE")</f>
        <v>PLANET SERVICE</v>
      </c>
      <c r="F53" t="str">
        <f>IFERROR(__xludf.DUMMYFUNCTION("""COMPUTED_VALUE"""),"PLANET SERVICE COOP.RESP.LIMITATA")</f>
        <v>PLANET SERVICE COOP.RESP.LIMITATA</v>
      </c>
      <c r="G53" t="str">
        <f>IFERROR(__xludf.DUMMYFUNCTION("""COMPUTED_VALUE"""),"VIA SAN PARDO 80")</f>
        <v>VIA SAN PARDO 80</v>
      </c>
      <c r="H53" t="str">
        <f>IFERROR(__xludf.DUMMYFUNCTION("""COMPUTED_VALUE"""),"Matera")</f>
        <v>Matera</v>
      </c>
      <c r="I53">
        <f>IFERROR(__xludf.DUMMYFUNCTION("""COMPUTED_VALUE"""),70.0)</f>
        <v>70</v>
      </c>
      <c r="J53">
        <f>IFERROR(__xludf.DUMMYFUNCTION("""COMPUTED_VALUE"""),447.0)</f>
        <v>447</v>
      </c>
      <c r="K53" t="str">
        <f>IFERROR(__xludf.DUMMYFUNCTION("""COMPUTED_VALUE"""),"Italy")</f>
        <v>Italy</v>
      </c>
      <c r="L53">
        <f>IFERROR(__xludf.DUMMYFUNCTION("""COMPUTED_VALUE"""),4.0)</f>
        <v>4</v>
      </c>
      <c r="M53">
        <f>IFERROR(__xludf.DUMMYFUNCTION("""COMPUTED_VALUE"""),15.0)</f>
        <v>15</v>
      </c>
      <c r="N53">
        <f>IFERROR(__xludf.DUMMYFUNCTION("""COMPUTED_VALUE"""),42089.0)</f>
        <v>42089</v>
      </c>
    </row>
    <row r="54">
      <c r="A54">
        <f>IFERROR(__xludf.DUMMYFUNCTION("""COMPUTED_VALUE"""),501.0)</f>
        <v>501</v>
      </c>
      <c r="B54">
        <f>IFERROR(__xludf.DUMMYFUNCTION("""COMPUTED_VALUE"""),40.6659269)</f>
        <v>40.6659269</v>
      </c>
      <c r="C54">
        <f>IFERROR(__xludf.DUMMYFUNCTION("""COMPUTED_VALUE"""),16.6074773)</f>
        <v>16.6074773</v>
      </c>
      <c r="D54" t="str">
        <f>IFERROR(__xludf.DUMMYFUNCTION("""COMPUTED_VALUE"""),"Affittacamere")</f>
        <v>Affittacamere</v>
      </c>
      <c r="E54" t="str">
        <f>IFERROR(__xludf.DUMMYFUNCTION("""COMPUTED_VALUE"""),"RESIDENZA AL CENTRO")</f>
        <v>RESIDENZA AL CENTRO</v>
      </c>
      <c r="F54" t="str">
        <f>IFERROR(__xludf.DUMMYFUNCTION("""COMPUTED_VALUE"""),"PRESIDENT HOTEL SNC")</f>
        <v>PRESIDENT HOTEL SNC</v>
      </c>
      <c r="G54" t="str">
        <f>IFERROR(__xludf.DUMMYFUNCTION("""COMPUTED_VALUE"""),"VIA DEL CORSO 7")</f>
        <v>VIA DEL CORSO 7</v>
      </c>
      <c r="H54" t="str">
        <f>IFERROR(__xludf.DUMMYFUNCTION("""COMPUTED_VALUE"""),"Matera")</f>
        <v>Matera</v>
      </c>
      <c r="I54">
        <f>IFERROR(__xludf.DUMMYFUNCTION("""COMPUTED_VALUE"""),159.0)</f>
        <v>159</v>
      </c>
      <c r="J54">
        <f>IFERROR(__xludf.DUMMYFUNCTION("""COMPUTED_VALUE"""),3841.0)</f>
        <v>3841</v>
      </c>
      <c r="K54" t="str">
        <f>IFERROR(__xludf.DUMMYFUNCTION("""COMPUTED_VALUE"""),"Italy")</f>
        <v>Italy</v>
      </c>
      <c r="L54">
        <f>IFERROR(__xludf.DUMMYFUNCTION("""COMPUTED_VALUE"""),35.0)</f>
        <v>35</v>
      </c>
      <c r="M54">
        <f>IFERROR(__xludf.DUMMYFUNCTION("""COMPUTED_VALUE"""),13.0)</f>
        <v>13</v>
      </c>
      <c r="N54">
        <f>IFERROR(__xludf.DUMMYFUNCTION("""COMPUTED_VALUE"""),43206.0)</f>
        <v>43206</v>
      </c>
    </row>
    <row r="55">
      <c r="A55">
        <f>IFERROR(__xludf.DUMMYFUNCTION("""COMPUTED_VALUE"""),502.0)</f>
        <v>502</v>
      </c>
      <c r="B55">
        <f>IFERROR(__xludf.DUMMYFUNCTION("""COMPUTED_VALUE"""),40.6659269)</f>
        <v>40.6659269</v>
      </c>
      <c r="C55">
        <f>IFERROR(__xludf.DUMMYFUNCTION("""COMPUTED_VALUE"""),16.6074773)</f>
        <v>16.6074773</v>
      </c>
      <c r="D55" t="str">
        <f>IFERROR(__xludf.DUMMYFUNCTION("""COMPUTED_VALUE"""),"Affittacamere")</f>
        <v>Affittacamere</v>
      </c>
      <c r="E55" t="str">
        <f>IFERROR(__xludf.DUMMYFUNCTION("""COMPUTED_VALUE"""),"RESIDENZA DEL CORSO")</f>
        <v>RESIDENZA DEL CORSO</v>
      </c>
      <c r="F55" t="str">
        <f>IFERROR(__xludf.DUMMYFUNCTION("""COMPUTED_VALUE"""),"PRESIDENT HOTEL SNC")</f>
        <v>PRESIDENT HOTEL SNC</v>
      </c>
      <c r="G55" t="str">
        <f>IFERROR(__xludf.DUMMYFUNCTION("""COMPUTED_VALUE"""),"VIA DEL CORSO 7 INTERNO4")</f>
        <v>VIA DEL CORSO 7 INTERNO4</v>
      </c>
      <c r="H55" t="str">
        <f>IFERROR(__xludf.DUMMYFUNCTION("""COMPUTED_VALUE"""),"Matera")</f>
        <v>Matera</v>
      </c>
      <c r="I55">
        <f>IFERROR(__xludf.DUMMYFUNCTION("""COMPUTED_VALUE"""),159.0)</f>
        <v>159</v>
      </c>
      <c r="J55">
        <f>IFERROR(__xludf.DUMMYFUNCTION("""COMPUTED_VALUE"""),3841.0)</f>
        <v>3841</v>
      </c>
      <c r="K55" t="str">
        <f>IFERROR(__xludf.DUMMYFUNCTION("""COMPUTED_VALUE"""),"Italy")</f>
        <v>Italy</v>
      </c>
      <c r="L55">
        <f>IFERROR(__xludf.DUMMYFUNCTION("""COMPUTED_VALUE"""),34.0)</f>
        <v>34</v>
      </c>
      <c r="M55">
        <f>IFERROR(__xludf.DUMMYFUNCTION("""COMPUTED_VALUE"""),14.0)</f>
        <v>14</v>
      </c>
      <c r="N55">
        <f>IFERROR(__xludf.DUMMYFUNCTION("""COMPUTED_VALUE"""),43206.0)</f>
        <v>43206</v>
      </c>
    </row>
    <row r="56">
      <c r="A56">
        <f>IFERROR(__xludf.DUMMYFUNCTION("""COMPUTED_VALUE"""),503.0)</f>
        <v>503</v>
      </c>
      <c r="B56">
        <f>IFERROR(__xludf.DUMMYFUNCTION("""COMPUTED_VALUE"""),40.6634271)</f>
        <v>40.6634271</v>
      </c>
      <c r="C56">
        <f>IFERROR(__xludf.DUMMYFUNCTION("""COMPUTED_VALUE"""),16.6116024)</f>
        <v>16.6116024</v>
      </c>
      <c r="D56" t="str">
        <f>IFERROR(__xludf.DUMMYFUNCTION("""COMPUTED_VALUE"""),"Affittacamere")</f>
        <v>Affittacamere</v>
      </c>
      <c r="E56" t="str">
        <f>IFERROR(__xludf.DUMMYFUNCTION("""COMPUTED_VALUE"""),"RESIDENZA DELLE 12 LUNE")</f>
        <v>RESIDENZA DELLE 12 LUNE</v>
      </c>
      <c r="F56" t="str">
        <f>IFERROR(__xludf.DUMMYFUNCTION("""COMPUTED_VALUE"""),"VITALE M.TERESA SAS")</f>
        <v>VITALE M.TERESA SAS</v>
      </c>
      <c r="G56" t="str">
        <f>IFERROR(__xludf.DUMMYFUNCTION("""COMPUTED_VALUE"""),"Via Bruno Buozzi 73")</f>
        <v>Via Bruno Buozzi 73</v>
      </c>
      <c r="H56" t="str">
        <f>IFERROR(__xludf.DUMMYFUNCTION("""COMPUTED_VALUE"""),"Matera")</f>
        <v>Matera</v>
      </c>
      <c r="I56" t="str">
        <f>IFERROR(__xludf.DUMMYFUNCTION("""COMPUTED_VALUE"""),"")</f>
        <v/>
      </c>
      <c r="J56" t="str">
        <f>IFERROR(__xludf.DUMMYFUNCTION("""COMPUTED_VALUE"""),"")</f>
        <v/>
      </c>
      <c r="K56" t="str">
        <f>IFERROR(__xludf.DUMMYFUNCTION("""COMPUTED_VALUE"""),"Italy")</f>
        <v>Italy</v>
      </c>
      <c r="L56" t="str">
        <f>IFERROR(__xludf.DUMMYFUNCTION("""COMPUTED_VALUE"""),"")</f>
        <v/>
      </c>
      <c r="M56">
        <f>IFERROR(__xludf.DUMMYFUNCTION("""COMPUTED_VALUE"""),25.0)</f>
        <v>25</v>
      </c>
      <c r="N56">
        <f>IFERROR(__xludf.DUMMYFUNCTION("""COMPUTED_VALUE"""),40982.0)</f>
        <v>40982</v>
      </c>
    </row>
    <row r="57">
      <c r="A57">
        <f>IFERROR(__xludf.DUMMYFUNCTION("""COMPUTED_VALUE"""),504.0)</f>
        <v>504</v>
      </c>
      <c r="B57">
        <f>IFERROR(__xludf.DUMMYFUNCTION("""COMPUTED_VALUE"""),40.6649624)</f>
        <v>40.6649624</v>
      </c>
      <c r="C57">
        <f>IFERROR(__xludf.DUMMYFUNCTION("""COMPUTED_VALUE"""),16.6087858)</f>
        <v>16.6087858</v>
      </c>
      <c r="D57" t="str">
        <f>IFERROR(__xludf.DUMMYFUNCTION("""COMPUTED_VALUE"""),"Affittacamere")</f>
        <v>Affittacamere</v>
      </c>
      <c r="E57" t="str">
        <f>IFERROR(__xludf.DUMMYFUNCTION("""COMPUTED_VALUE"""),"SAN FRANCESCO")</f>
        <v>SAN FRANCESCO</v>
      </c>
      <c r="F57" t="str">
        <f>IFERROR(__xludf.DUMMYFUNCTION("""COMPUTED_VALUE"""),"ROSA CARDINALE")</f>
        <v>ROSA CARDINALE</v>
      </c>
      <c r="G57" t="str">
        <f>IFERROR(__xludf.DUMMYFUNCTION("""COMPUTED_VALUE"""),"VIA DEL CORSO 98")</f>
        <v>VIA DEL CORSO 98</v>
      </c>
      <c r="H57" t="str">
        <f>IFERROR(__xludf.DUMMYFUNCTION("""COMPUTED_VALUE"""),"Matera")</f>
        <v>Matera</v>
      </c>
      <c r="I57">
        <f>IFERROR(__xludf.DUMMYFUNCTION("""COMPUTED_VALUE"""),159.0)</f>
        <v>159</v>
      </c>
      <c r="J57">
        <f>IFERROR(__xludf.DUMMYFUNCTION("""COMPUTED_VALUE"""),2603.0)</f>
        <v>2603</v>
      </c>
      <c r="K57" t="str">
        <f>IFERROR(__xludf.DUMMYFUNCTION("""COMPUTED_VALUE"""),"Italy")</f>
        <v>Italy</v>
      </c>
      <c r="L57">
        <f>IFERROR(__xludf.DUMMYFUNCTION("""COMPUTED_VALUE"""),3.0)</f>
        <v>3</v>
      </c>
      <c r="M57">
        <f>IFERROR(__xludf.DUMMYFUNCTION("""COMPUTED_VALUE"""),13.0)</f>
        <v>13</v>
      </c>
      <c r="N57">
        <f>IFERROR(__xludf.DUMMYFUNCTION("""COMPUTED_VALUE"""),41914.0)</f>
        <v>41914</v>
      </c>
    </row>
    <row r="58">
      <c r="A58">
        <f>IFERROR(__xludf.DUMMYFUNCTION("""COMPUTED_VALUE"""),505.0)</f>
        <v>505</v>
      </c>
      <c r="B58">
        <f>IFERROR(__xludf.DUMMYFUNCTION("""COMPUTED_VALUE"""),40.6661359)</f>
        <v>40.6661359</v>
      </c>
      <c r="C58">
        <f>IFERROR(__xludf.DUMMYFUNCTION("""COMPUTED_VALUE"""),16.6117184)</f>
        <v>16.6117184</v>
      </c>
      <c r="D58" t="str">
        <f>IFERROR(__xludf.DUMMYFUNCTION("""COMPUTED_VALUE"""),"Affittacamere")</f>
        <v>Affittacamere</v>
      </c>
      <c r="E58" t="str">
        <f>IFERROR(__xludf.DUMMYFUNCTION("""COMPUTED_VALUE"""),"SANTA BARBARA")</f>
        <v>SANTA BARBARA</v>
      </c>
      <c r="F58" t="str">
        <f>IFERROR(__xludf.DUMMYFUNCTION("""COMPUTED_VALUE"""),"IVAN MONTEMURRO")</f>
        <v>IVAN MONTEMURRO</v>
      </c>
      <c r="G58" t="str">
        <f>IFERROR(__xludf.DUMMYFUNCTION("""COMPUTED_VALUE"""),"VIA MURO 55")</f>
        <v>VIA MURO 55</v>
      </c>
      <c r="H58" t="str">
        <f>IFERROR(__xludf.DUMMYFUNCTION("""COMPUTED_VALUE"""),"Matera")</f>
        <v>Matera</v>
      </c>
      <c r="I58">
        <f>IFERROR(__xludf.DUMMYFUNCTION("""COMPUTED_VALUE"""),159.0)</f>
        <v>159</v>
      </c>
      <c r="J58">
        <f>IFERROR(__xludf.DUMMYFUNCTION("""COMPUTED_VALUE"""),1518.0)</f>
        <v>1518</v>
      </c>
      <c r="K58" t="str">
        <f>IFERROR(__xludf.DUMMYFUNCTION("""COMPUTED_VALUE"""),"Italy")</f>
        <v>Italy</v>
      </c>
      <c r="L58">
        <f>IFERROR(__xludf.DUMMYFUNCTION("""COMPUTED_VALUE"""),3.0)</f>
        <v>3</v>
      </c>
      <c r="M58">
        <f>IFERROR(__xludf.DUMMYFUNCTION("""COMPUTED_VALUE"""),10.0)</f>
        <v>10</v>
      </c>
      <c r="N58">
        <f>IFERROR(__xludf.DUMMYFUNCTION("""COMPUTED_VALUE"""),42432.0)</f>
        <v>42432</v>
      </c>
    </row>
    <row r="59">
      <c r="A59">
        <f>IFERROR(__xludf.DUMMYFUNCTION("""COMPUTED_VALUE"""),506.0)</f>
        <v>506</v>
      </c>
      <c r="B59">
        <f>IFERROR(__xludf.DUMMYFUNCTION("""COMPUTED_VALUE"""),40.6661359)</f>
        <v>40.6661359</v>
      </c>
      <c r="C59">
        <f>IFERROR(__xludf.DUMMYFUNCTION("""COMPUTED_VALUE"""),16.6117184)</f>
        <v>16.6117184</v>
      </c>
      <c r="D59" t="str">
        <f>IFERROR(__xludf.DUMMYFUNCTION("""COMPUTED_VALUE"""),"Affittacamere")</f>
        <v>Affittacamere</v>
      </c>
      <c r="E59" t="str">
        <f>IFERROR(__xludf.DUMMYFUNCTION("""COMPUTED_VALUE"""),"SANTA BARBARA")</f>
        <v>SANTA BARBARA</v>
      </c>
      <c r="F59" t="str">
        <f>IFERROR(__xludf.DUMMYFUNCTION("""COMPUTED_VALUE"""),"IVAN MONTEMURRO")</f>
        <v>IVAN MONTEMURRO</v>
      </c>
      <c r="G59" t="str">
        <f>IFERROR(__xludf.DUMMYFUNCTION("""COMPUTED_VALUE"""),"VIA MURO 55 PIANO 1")</f>
        <v>VIA MURO 55 PIANO 1</v>
      </c>
      <c r="H59" t="str">
        <f>IFERROR(__xludf.DUMMYFUNCTION("""COMPUTED_VALUE"""),"Matera")</f>
        <v>Matera</v>
      </c>
      <c r="I59">
        <f>IFERROR(__xludf.DUMMYFUNCTION("""COMPUTED_VALUE"""),159.0)</f>
        <v>159</v>
      </c>
      <c r="J59">
        <f>IFERROR(__xludf.DUMMYFUNCTION("""COMPUTED_VALUE"""),1428.0)</f>
        <v>1428</v>
      </c>
      <c r="K59" t="str">
        <f>IFERROR(__xludf.DUMMYFUNCTION("""COMPUTED_VALUE"""),"Italy")</f>
        <v>Italy</v>
      </c>
      <c r="L59">
        <f>IFERROR(__xludf.DUMMYFUNCTION("""COMPUTED_VALUE"""),8.0)</f>
        <v>8</v>
      </c>
      <c r="M59">
        <f>IFERROR(__xludf.DUMMYFUNCTION("""COMPUTED_VALUE"""),10.0)</f>
        <v>10</v>
      </c>
      <c r="N59">
        <f>IFERROR(__xludf.DUMMYFUNCTION("""COMPUTED_VALUE"""),42432.0)</f>
        <v>42432</v>
      </c>
    </row>
    <row r="60">
      <c r="A60">
        <f>IFERROR(__xludf.DUMMYFUNCTION("""COMPUTED_VALUE"""),507.0)</f>
        <v>507</v>
      </c>
      <c r="B60">
        <f>IFERROR(__xludf.DUMMYFUNCTION("""COMPUTED_VALUE"""),40.669989)</f>
        <v>40.669989</v>
      </c>
      <c r="C60">
        <f>IFERROR(__xludf.DUMMYFUNCTION("""COMPUTED_VALUE"""),16.60884)</f>
        <v>16.60884</v>
      </c>
      <c r="D60" t="str">
        <f>IFERROR(__xludf.DUMMYFUNCTION("""COMPUTED_VALUE"""),"Affittacamere")</f>
        <v>Affittacamere</v>
      </c>
      <c r="E60" t="str">
        <f>IFERROR(__xludf.DUMMYFUNCTION("""COMPUTED_VALUE"""),"SANTA CESAREA")</f>
        <v>SANTA CESAREA</v>
      </c>
      <c r="F60" t="str">
        <f>IFERROR(__xludf.DUMMYFUNCTION("""COMPUTED_VALUE"""),"D.S.DI PIETRO DI NOIA &amp; C. SAS")</f>
        <v>D.S.DI PIETRO DI NOIA &amp; C. SAS</v>
      </c>
      <c r="G60" t="str">
        <f>IFERROR(__xludf.DUMMYFUNCTION("""COMPUTED_VALUE"""),"VIA SANTA CESAREA 36")</f>
        <v>VIA SANTA CESAREA 36</v>
      </c>
      <c r="H60" t="str">
        <f>IFERROR(__xludf.DUMMYFUNCTION("""COMPUTED_VALUE"""),"Matera")</f>
        <v>Matera</v>
      </c>
      <c r="I60">
        <f>IFERROR(__xludf.DUMMYFUNCTION("""COMPUTED_VALUE"""),159.0)</f>
        <v>159</v>
      </c>
      <c r="J60">
        <f>IFERROR(__xludf.DUMMYFUNCTION("""COMPUTED_VALUE"""),161.0)</f>
        <v>161</v>
      </c>
      <c r="K60" t="str">
        <f>IFERROR(__xludf.DUMMYFUNCTION("""COMPUTED_VALUE"""),"Italy")</f>
        <v>Italy</v>
      </c>
      <c r="L60">
        <f>IFERROR(__xludf.DUMMYFUNCTION("""COMPUTED_VALUE"""),22.0)</f>
        <v>22</v>
      </c>
      <c r="M60">
        <f>IFERROR(__xludf.DUMMYFUNCTION("""COMPUTED_VALUE"""),15.0)</f>
        <v>15</v>
      </c>
      <c r="N60">
        <f>IFERROR(__xludf.DUMMYFUNCTION("""COMPUTED_VALUE"""),41965.0)</f>
        <v>41965</v>
      </c>
    </row>
    <row r="61">
      <c r="A61">
        <f>IFERROR(__xludf.DUMMYFUNCTION("""COMPUTED_VALUE"""),508.0)</f>
        <v>508</v>
      </c>
      <c r="B61">
        <f>IFERROR(__xludf.DUMMYFUNCTION("""COMPUTED_VALUE"""),40.663171)</f>
        <v>40.663171</v>
      </c>
      <c r="C61">
        <f>IFERROR(__xludf.DUMMYFUNCTION("""COMPUTED_VALUE"""),16.6092755)</f>
        <v>16.6092755</v>
      </c>
      <c r="D61" t="str">
        <f>IFERROR(__xludf.DUMMYFUNCTION("""COMPUTED_VALUE"""),"Affittacamere")</f>
        <v>Affittacamere</v>
      </c>
      <c r="E61" t="str">
        <f>IFERROR(__xludf.DUMMYFUNCTION("""COMPUTED_VALUE"""),"SASSISEDICIDICIOTTO")</f>
        <v>SASSISEDICIDICIOTTO</v>
      </c>
      <c r="F61" t="str">
        <f>IFERROR(__xludf.DUMMYFUNCTION("""COMPUTED_VALUE"""),"TUBAZIO ANNA MARIA")</f>
        <v>TUBAZIO ANNA MARIA</v>
      </c>
      <c r="G61" t="str">
        <f>IFERROR(__xludf.DUMMYFUNCTION("""COMPUTED_VALUE"""),"VICO 1° DUNI 16-18")</f>
        <v>VICO 1° DUNI 16-18</v>
      </c>
      <c r="H61" t="str">
        <f>IFERROR(__xludf.DUMMYFUNCTION("""COMPUTED_VALUE"""),"Matera")</f>
        <v>Matera</v>
      </c>
      <c r="I61">
        <f>IFERROR(__xludf.DUMMYFUNCTION("""COMPUTED_VALUE"""),159.0)</f>
        <v>159</v>
      </c>
      <c r="J61">
        <f>IFERROR(__xludf.DUMMYFUNCTION("""COMPUTED_VALUE"""),2921.0)</f>
        <v>2921</v>
      </c>
      <c r="K61" t="str">
        <f>IFERROR(__xludf.DUMMYFUNCTION("""COMPUTED_VALUE"""),"Italy")</f>
        <v>Italy</v>
      </c>
      <c r="L61">
        <f>IFERROR(__xludf.DUMMYFUNCTION("""COMPUTED_VALUE"""),6.0)</f>
        <v>6</v>
      </c>
      <c r="M61">
        <f>IFERROR(__xludf.DUMMYFUNCTION("""COMPUTED_VALUE"""),8.0)</f>
        <v>8</v>
      </c>
      <c r="N61">
        <f>IFERROR(__xludf.DUMMYFUNCTION("""COMPUTED_VALUE"""),42466.0)</f>
        <v>42466</v>
      </c>
    </row>
    <row r="62">
      <c r="A62">
        <f>IFERROR(__xludf.DUMMYFUNCTION("""COMPUTED_VALUE"""),509.0)</f>
        <v>509</v>
      </c>
      <c r="B62">
        <f>IFERROR(__xludf.DUMMYFUNCTION("""COMPUTED_VALUE"""),40.666954)</f>
        <v>40.666954</v>
      </c>
      <c r="C62">
        <f>IFERROR(__xludf.DUMMYFUNCTION("""COMPUTED_VALUE"""),16.607546)</f>
        <v>16.607546</v>
      </c>
      <c r="D62" t="str">
        <f>IFERROR(__xludf.DUMMYFUNCTION("""COMPUTED_VALUE"""),"Affittacamere")</f>
        <v>Affittacamere</v>
      </c>
      <c r="E62" t="str">
        <f>IFERROR(__xludf.DUMMYFUNCTION("""COMPUTED_VALUE"""),"SASSISUITE")</f>
        <v>SASSISUITE</v>
      </c>
      <c r="F62" t="str">
        <f>IFERROR(__xludf.DUMMYFUNCTION("""COMPUTED_VALUE"""),"GBM TURISM SRL /MASSIMO DIMO")</f>
        <v>GBM TURISM SRL /MASSIMO DIMO</v>
      </c>
      <c r="G62" t="str">
        <f>IFERROR(__xludf.DUMMYFUNCTION("""COMPUTED_VALUE"""),"VIA ROSARIO 15-24")</f>
        <v>VIA ROSARIO 15-24</v>
      </c>
      <c r="H62" t="str">
        <f>IFERROR(__xludf.DUMMYFUNCTION("""COMPUTED_VALUE"""),"Matera")</f>
        <v>Matera</v>
      </c>
      <c r="I62">
        <f>IFERROR(__xludf.DUMMYFUNCTION("""COMPUTED_VALUE"""),159.0)</f>
        <v>159</v>
      </c>
      <c r="J62">
        <f>IFERROR(__xludf.DUMMYFUNCTION("""COMPUTED_VALUE"""),556.0)</f>
        <v>556</v>
      </c>
      <c r="K62" t="str">
        <f>IFERROR(__xludf.DUMMYFUNCTION("""COMPUTED_VALUE"""),"Italy")</f>
        <v>Italy</v>
      </c>
      <c r="L62">
        <f>IFERROR(__xludf.DUMMYFUNCTION("""COMPUTED_VALUE"""),5.0)</f>
        <v>5</v>
      </c>
      <c r="M62">
        <f>IFERROR(__xludf.DUMMYFUNCTION("""COMPUTED_VALUE"""),10.0)</f>
        <v>10</v>
      </c>
      <c r="N62">
        <f>IFERROR(__xludf.DUMMYFUNCTION("""COMPUTED_VALUE"""),42444.0)</f>
        <v>42444</v>
      </c>
    </row>
    <row r="63">
      <c r="A63">
        <f>IFERROR(__xludf.DUMMYFUNCTION("""COMPUTED_VALUE"""),510.0)</f>
        <v>510</v>
      </c>
      <c r="B63">
        <f>IFERROR(__xludf.DUMMYFUNCTION("""COMPUTED_VALUE"""),40.6611822)</f>
        <v>40.6611822</v>
      </c>
      <c r="C63">
        <f>IFERROR(__xludf.DUMMYFUNCTION("""COMPUTED_VALUE"""),16.6125711)</f>
        <v>16.6125711</v>
      </c>
      <c r="D63" t="str">
        <f>IFERROR(__xludf.DUMMYFUNCTION("""COMPUTED_VALUE"""),"Affittacamere")</f>
        <v>Affittacamere</v>
      </c>
      <c r="E63" t="str">
        <f>IFERROR(__xludf.DUMMYFUNCTION("""COMPUTED_VALUE"""),"TORRETTA AI SASSI")</f>
        <v>TORRETTA AI SASSI</v>
      </c>
      <c r="F63" t="str">
        <f>IFERROR(__xludf.DUMMYFUNCTION("""COMPUTED_VALUE"""),"TORRETTA AI SASSI SRL")</f>
        <v>TORRETTA AI SASSI SRL</v>
      </c>
      <c r="G63" t="str">
        <f>IFERROR(__xludf.DUMMYFUNCTION("""COMPUTED_VALUE"""),"VICO 1 CASALNUOVO")</f>
        <v>VICO 1 CASALNUOVO</v>
      </c>
      <c r="H63" t="str">
        <f>IFERROR(__xludf.DUMMYFUNCTION("""COMPUTED_VALUE"""),"Matera")</f>
        <v>Matera</v>
      </c>
      <c r="I63">
        <f>IFERROR(__xludf.DUMMYFUNCTION("""COMPUTED_VALUE"""),159.0)</f>
        <v>159</v>
      </c>
      <c r="J63">
        <f>IFERROR(__xludf.DUMMYFUNCTION("""COMPUTED_VALUE"""),4146.0)</f>
        <v>4146</v>
      </c>
      <c r="K63" t="str">
        <f>IFERROR(__xludf.DUMMYFUNCTION("""COMPUTED_VALUE"""),"Italy")</f>
        <v>Italy</v>
      </c>
      <c r="L63">
        <f>IFERROR(__xludf.DUMMYFUNCTION("""COMPUTED_VALUE"""),4.0)</f>
        <v>4</v>
      </c>
      <c r="M63">
        <f>IFERROR(__xludf.DUMMYFUNCTION("""COMPUTED_VALUE"""),10.0)</f>
        <v>10</v>
      </c>
      <c r="N63">
        <f>IFERROR(__xludf.DUMMYFUNCTION("""COMPUTED_VALUE"""),42613.0)</f>
        <v>42613</v>
      </c>
    </row>
    <row r="64">
      <c r="A64">
        <f>IFERROR(__xludf.DUMMYFUNCTION("""COMPUTED_VALUE"""),511.0)</f>
        <v>511</v>
      </c>
      <c r="B64">
        <f>IFERROR(__xludf.DUMMYFUNCTION("""COMPUTED_VALUE"""),40.6811883)</f>
        <v>40.6811883</v>
      </c>
      <c r="C64">
        <f>IFERROR(__xludf.DUMMYFUNCTION("""COMPUTED_VALUE"""),16.6047174)</f>
        <v>16.6047174</v>
      </c>
      <c r="D64" t="str">
        <f>IFERROR(__xludf.DUMMYFUNCTION("""COMPUTED_VALUE"""),"Affittacamere")</f>
        <v>Affittacamere</v>
      </c>
      <c r="E64" t="str">
        <f>IFERROR(__xludf.DUMMYFUNCTION("""COMPUTED_VALUE"""),"VILLA DELLA PALOMBA")</f>
        <v>VILLA DELLA PALOMBA</v>
      </c>
      <c r="F64" t="str">
        <f>IFERROR(__xludf.DUMMYFUNCTION("""COMPUTED_VALUE"""),"LUCIANO CARENZA")</f>
        <v>LUCIANO CARENZA</v>
      </c>
      <c r="G64" t="str">
        <f>IFERROR(__xludf.DUMMYFUNCTION("""COMPUTED_VALUE"""),"LA PALOMBA")</f>
        <v>LA PALOMBA</v>
      </c>
      <c r="H64" t="str">
        <f>IFERROR(__xludf.DUMMYFUNCTION("""COMPUTED_VALUE"""),"Matera")</f>
        <v>Matera</v>
      </c>
      <c r="I64">
        <f>IFERROR(__xludf.DUMMYFUNCTION("""COMPUTED_VALUE"""),52.0)</f>
        <v>52</v>
      </c>
      <c r="J64">
        <f>IFERROR(__xludf.DUMMYFUNCTION("""COMPUTED_VALUE"""),44.0)</f>
        <v>44</v>
      </c>
      <c r="K64" t="str">
        <f>IFERROR(__xludf.DUMMYFUNCTION("""COMPUTED_VALUE"""),"Italy")</f>
        <v>Italy</v>
      </c>
      <c r="L64">
        <f>IFERROR(__xludf.DUMMYFUNCTION("""COMPUTED_VALUE"""),4.0)</f>
        <v>4</v>
      </c>
      <c r="M64">
        <f>IFERROR(__xludf.DUMMYFUNCTION("""COMPUTED_VALUE"""),9.0)</f>
        <v>9</v>
      </c>
      <c r="N64">
        <f>IFERROR(__xludf.DUMMYFUNCTION("""COMPUTED_VALUE"""),41943.0)</f>
        <v>41943</v>
      </c>
    </row>
    <row r="65">
      <c r="A65">
        <f>IFERROR(__xludf.DUMMYFUNCTION("""COMPUTED_VALUE"""),512.0)</f>
        <v>512</v>
      </c>
      <c r="B65">
        <f>IFERROR(__xludf.DUMMYFUNCTION("""COMPUTED_VALUE"""),40.6678407)</f>
        <v>40.6678407</v>
      </c>
      <c r="C65">
        <f>IFERROR(__xludf.DUMMYFUNCTION("""COMPUTED_VALUE"""),16.6091579)</f>
        <v>16.6091579</v>
      </c>
      <c r="D65" t="str">
        <f>IFERROR(__xludf.DUMMYFUNCTION("""COMPUTED_VALUE"""),"Affittacamere")</f>
        <v>Affittacamere</v>
      </c>
      <c r="E65" t="str">
        <f>IFERROR(__xludf.DUMMYFUNCTION("""COMPUTED_VALUE"""),"IL CORTILETTO DEI SASSI")</f>
        <v>IL CORTILETTO DEI SASSI</v>
      </c>
      <c r="F65" t="str">
        <f>IFERROR(__xludf.DUMMYFUNCTION("""COMPUTED_VALUE"""),"MARIA BEATRICE CONTE")</f>
        <v>MARIA BEATRICE CONTE</v>
      </c>
      <c r="G65" t="str">
        <f>IFERROR(__xludf.DUMMYFUNCTION("""COMPUTED_VALUE"""),"VIA SAN ROCCO  20")</f>
        <v>VIA SAN ROCCO  20</v>
      </c>
      <c r="H65" t="str">
        <f>IFERROR(__xludf.DUMMYFUNCTION("""COMPUTED_VALUE"""),"Matera")</f>
        <v>Matera</v>
      </c>
      <c r="I65">
        <f>IFERROR(__xludf.DUMMYFUNCTION("""COMPUTED_VALUE"""),159.0)</f>
        <v>159</v>
      </c>
      <c r="J65">
        <f>IFERROR(__xludf.DUMMYFUNCTION("""COMPUTED_VALUE"""),450.0)</f>
        <v>450</v>
      </c>
      <c r="K65" t="str">
        <f>IFERROR(__xludf.DUMMYFUNCTION("""COMPUTED_VALUE"""),"Italy")</f>
        <v>Italy</v>
      </c>
      <c r="L65">
        <f>IFERROR(__xludf.DUMMYFUNCTION("""COMPUTED_VALUE"""),10.0)</f>
        <v>10</v>
      </c>
      <c r="M65">
        <f>IFERROR(__xludf.DUMMYFUNCTION("""COMPUTED_VALUE"""),4.0)</f>
        <v>4</v>
      </c>
      <c r="N65">
        <f>IFERROR(__xludf.DUMMYFUNCTION("""COMPUTED_VALUE"""),42662.0)</f>
        <v>42662</v>
      </c>
    </row>
    <row r="66">
      <c r="A66">
        <f>IFERROR(__xludf.DUMMYFUNCTION("""COMPUTED_VALUE"""),514.0)</f>
        <v>514</v>
      </c>
      <c r="B66">
        <f>IFERROR(__xludf.DUMMYFUNCTION("""COMPUTED_VALUE"""),40.6444539)</f>
        <v>40.6444539</v>
      </c>
      <c r="C66">
        <f>IFERROR(__xludf.DUMMYFUNCTION("""COMPUTED_VALUE"""),16.6241476)</f>
        <v>16.6241476</v>
      </c>
      <c r="D66" t="str">
        <f>IFERROR(__xludf.DUMMYFUNCTION("""COMPUTED_VALUE"""),"Affittacamere")</f>
        <v>Affittacamere</v>
      </c>
      <c r="E66" t="str">
        <f>IFERROR(__xludf.DUMMYFUNCTION("""COMPUTED_VALUE"""),"DOMUS ANGELA MATERA")</f>
        <v>DOMUS ANGELA MATERA</v>
      </c>
      <c r="F66" t="str">
        <f>IFERROR(__xludf.DUMMYFUNCTION("""COMPUTED_VALUE"""),"DI PEDE GIUSEPPE")</f>
        <v>DI PEDE GIUSEPPE</v>
      </c>
      <c r="G66" t="str">
        <f>IFERROR(__xludf.DUMMYFUNCTION("""COMPUTED_VALUE"""),"VIA T. RICCIARDI 11")</f>
        <v>VIA T. RICCIARDI 11</v>
      </c>
      <c r="H66" t="str">
        <f>IFERROR(__xludf.DUMMYFUNCTION("""COMPUTED_VALUE"""),"Matera")</f>
        <v>Matera</v>
      </c>
      <c r="I66">
        <f>IFERROR(__xludf.DUMMYFUNCTION("""COMPUTED_VALUE"""),106.0)</f>
        <v>106</v>
      </c>
      <c r="J66">
        <f>IFERROR(__xludf.DUMMYFUNCTION("""COMPUTED_VALUE"""),66.0)</f>
        <v>66</v>
      </c>
      <c r="K66" t="str">
        <f>IFERROR(__xludf.DUMMYFUNCTION("""COMPUTED_VALUE"""),"Italy")</f>
        <v>Italy</v>
      </c>
      <c r="L66">
        <f>IFERROR(__xludf.DUMMYFUNCTION("""COMPUTED_VALUE"""),5.0)</f>
        <v>5</v>
      </c>
      <c r="M66">
        <f>IFERROR(__xludf.DUMMYFUNCTION("""COMPUTED_VALUE"""),5.0)</f>
        <v>5</v>
      </c>
      <c r="N66">
        <f>IFERROR(__xludf.DUMMYFUNCTION("""COMPUTED_VALUE"""),42592.0)</f>
        <v>42592</v>
      </c>
    </row>
    <row r="67">
      <c r="A67">
        <f>IFERROR(__xludf.DUMMYFUNCTION("""COMPUTED_VALUE"""),516.0)</f>
        <v>516</v>
      </c>
      <c r="B67">
        <f>IFERROR(__xludf.DUMMYFUNCTION("""COMPUTED_VALUE"""),40.6659602)</f>
        <v>40.6659602</v>
      </c>
      <c r="C67">
        <f>IFERROR(__xludf.DUMMYFUNCTION("""COMPUTED_VALUE"""),16.6097434)</f>
        <v>16.6097434</v>
      </c>
      <c r="D67" t="str">
        <f>IFERROR(__xludf.DUMMYFUNCTION("""COMPUTED_VALUE"""),"Affittacamere")</f>
        <v>Affittacamere</v>
      </c>
      <c r="E67" t="str">
        <f>IFERROR(__xludf.DUMMYFUNCTION("""COMPUTED_VALUE"""),"RESIDENZA DEI SUONI")</f>
        <v>RESIDENZA DEI SUONI</v>
      </c>
      <c r="F67" t="str">
        <f>IFERROR(__xludf.DUMMYFUNCTION("""COMPUTED_VALUE"""),"ASCATIGNO GIUSEPPINA")</f>
        <v>ASCATIGNO GIUSEPPINA</v>
      </c>
      <c r="G67" t="str">
        <f>IFERROR(__xludf.DUMMYFUNCTION("""COMPUTED_VALUE"""),"PIAZZA SEDILE 17")</f>
        <v>PIAZZA SEDILE 17</v>
      </c>
      <c r="H67" t="str">
        <f>IFERROR(__xludf.DUMMYFUNCTION("""COMPUTED_VALUE"""),"Matera")</f>
        <v>Matera</v>
      </c>
      <c r="I67">
        <f>IFERROR(__xludf.DUMMYFUNCTION("""COMPUTED_VALUE"""),159.0)</f>
        <v>159</v>
      </c>
      <c r="J67">
        <f>IFERROR(__xludf.DUMMYFUNCTION("""COMPUTED_VALUE"""),754.0)</f>
        <v>754</v>
      </c>
      <c r="K67" t="str">
        <f>IFERROR(__xludf.DUMMYFUNCTION("""COMPUTED_VALUE"""),"Italy")</f>
        <v>Italy</v>
      </c>
      <c r="L67">
        <f>IFERROR(__xludf.DUMMYFUNCTION("""COMPUTED_VALUE"""),10.0)</f>
        <v>10</v>
      </c>
      <c r="M67">
        <f>IFERROR(__xludf.DUMMYFUNCTION("""COMPUTED_VALUE"""),10.0)</f>
        <v>10</v>
      </c>
      <c r="N67">
        <f>IFERROR(__xludf.DUMMYFUNCTION("""COMPUTED_VALUE"""),42699.0)</f>
        <v>42699</v>
      </c>
    </row>
    <row r="68">
      <c r="A68">
        <f>IFERROR(__xludf.DUMMYFUNCTION("""COMPUTED_VALUE"""),518.0)</f>
        <v>518</v>
      </c>
      <c r="B68">
        <f>IFERROR(__xludf.DUMMYFUNCTION("""COMPUTED_VALUE"""),40.6588776)</f>
        <v>40.6588776</v>
      </c>
      <c r="C68">
        <f>IFERROR(__xludf.DUMMYFUNCTION("""COMPUTED_VALUE"""),16.6156876)</f>
        <v>16.6156876</v>
      </c>
      <c r="D68" t="str">
        <f>IFERROR(__xludf.DUMMYFUNCTION("""COMPUTED_VALUE"""),"Affittacamere")</f>
        <v>Affittacamere</v>
      </c>
      <c r="E68" t="str">
        <f>IFERROR(__xludf.DUMMYFUNCTION("""COMPUTED_VALUE"""),"TERRAZZA SANTA BARBARA")</f>
        <v>TERRAZZA SANTA BARBARA</v>
      </c>
      <c r="F68" t="str">
        <f>IFERROR(__xludf.DUMMYFUNCTION("""COMPUTED_VALUE"""),"TERRAZZA SANTA BARBARA SNC. RICCARDI ANNA ROSA &amp; CASCIARO LUCIA")</f>
        <v>TERRAZZA SANTA BARBARA SNC. RICCARDI ANNA ROSA &amp; CASCIARO LUCIA</v>
      </c>
      <c r="G68" t="str">
        <f>IFERROR(__xludf.DUMMYFUNCTION("""COMPUTED_VALUE"""),"VIA CASALNUOVO 245")</f>
        <v>VIA CASALNUOVO 245</v>
      </c>
      <c r="H68" t="str">
        <f>IFERROR(__xludf.DUMMYFUNCTION("""COMPUTED_VALUE"""),"Matera")</f>
        <v>Matera</v>
      </c>
      <c r="I68">
        <f>IFERROR(__xludf.DUMMYFUNCTION("""COMPUTED_VALUE"""),159.0)</f>
        <v>159</v>
      </c>
      <c r="J68">
        <f>IFERROR(__xludf.DUMMYFUNCTION("""COMPUTED_VALUE"""),2992.0)</f>
        <v>2992</v>
      </c>
      <c r="K68" t="str">
        <f>IFERROR(__xludf.DUMMYFUNCTION("""COMPUTED_VALUE"""),"Italy")</f>
        <v>Italy</v>
      </c>
      <c r="L68">
        <f>IFERROR(__xludf.DUMMYFUNCTION("""COMPUTED_VALUE"""),5.0)</f>
        <v>5</v>
      </c>
      <c r="M68">
        <f>IFERROR(__xludf.DUMMYFUNCTION("""COMPUTED_VALUE"""),8.0)</f>
        <v>8</v>
      </c>
      <c r="N68">
        <f>IFERROR(__xludf.DUMMYFUNCTION("""COMPUTED_VALUE"""),42692.0)</f>
        <v>42692</v>
      </c>
    </row>
    <row r="69">
      <c r="A69">
        <f>IFERROR(__xludf.DUMMYFUNCTION("""COMPUTED_VALUE"""),519.0)</f>
        <v>519</v>
      </c>
      <c r="B69">
        <f>IFERROR(__xludf.DUMMYFUNCTION("""COMPUTED_VALUE"""),40.6776933)</f>
        <v>40.6776933</v>
      </c>
      <c r="C69">
        <f>IFERROR(__xludf.DUMMYFUNCTION("""COMPUTED_VALUE"""),16.5856624)</f>
        <v>16.5856624</v>
      </c>
      <c r="D69" t="str">
        <f>IFERROR(__xludf.DUMMYFUNCTION("""COMPUTED_VALUE"""),"Affittacamere")</f>
        <v>Affittacamere</v>
      </c>
      <c r="E69" t="str">
        <f>IFERROR(__xludf.DUMMYFUNCTION("""COMPUTED_VALUE"""),"HELLO MATERA")</f>
        <v>HELLO MATERA</v>
      </c>
      <c r="F69" t="str">
        <f>IFERROR(__xludf.DUMMYFUNCTION("""COMPUTED_VALUE"""),"ADORISIO GIUSEPPE")</f>
        <v>ADORISIO GIUSEPPE</v>
      </c>
      <c r="G69" t="str">
        <f>IFERROR(__xludf.DUMMYFUNCTION("""COMPUTED_VALUE"""),"VIA MEUCCI 11")</f>
        <v>VIA MEUCCI 11</v>
      </c>
      <c r="H69" t="str">
        <f>IFERROR(__xludf.DUMMYFUNCTION("""COMPUTED_VALUE"""),"Matera")</f>
        <v>Matera</v>
      </c>
      <c r="I69">
        <f>IFERROR(__xludf.DUMMYFUNCTION("""COMPUTED_VALUE"""),68.0)</f>
        <v>68</v>
      </c>
      <c r="J69">
        <f>IFERROR(__xludf.DUMMYFUNCTION("""COMPUTED_VALUE"""),530.0)</f>
        <v>530</v>
      </c>
      <c r="K69" t="str">
        <f>IFERROR(__xludf.DUMMYFUNCTION("""COMPUTED_VALUE"""),"Italy")</f>
        <v>Italy</v>
      </c>
      <c r="L69">
        <f>IFERROR(__xludf.DUMMYFUNCTION("""COMPUTED_VALUE"""),8.0)</f>
        <v>8</v>
      </c>
      <c r="M69">
        <f>IFERROR(__xludf.DUMMYFUNCTION("""COMPUTED_VALUE"""),6.0)</f>
        <v>6</v>
      </c>
      <c r="N69">
        <f>IFERROR(__xludf.DUMMYFUNCTION("""COMPUTED_VALUE"""),42685.0)</f>
        <v>42685</v>
      </c>
    </row>
    <row r="70">
      <c r="A70">
        <f>IFERROR(__xludf.DUMMYFUNCTION("""COMPUTED_VALUE"""),521.0)</f>
        <v>521</v>
      </c>
      <c r="B70">
        <f>IFERROR(__xludf.DUMMYFUNCTION("""COMPUTED_VALUE"""),40.6664793)</f>
        <v>40.6664793</v>
      </c>
      <c r="C70">
        <f>IFERROR(__xludf.DUMMYFUNCTION("""COMPUTED_VALUE"""),16.6029881)</f>
        <v>16.6029881</v>
      </c>
      <c r="D70" t="str">
        <f>IFERROR(__xludf.DUMMYFUNCTION("""COMPUTED_VALUE"""),"Affittacamere")</f>
        <v>Affittacamere</v>
      </c>
      <c r="E70" t="str">
        <f>IFERROR(__xludf.DUMMYFUNCTION("""COMPUTED_VALUE"""),"SOTTO L'ARCO")</f>
        <v>SOTTO L'ARCO</v>
      </c>
      <c r="F70" t="str">
        <f>IFERROR(__xludf.DUMMYFUNCTION("""COMPUTED_VALUE"""),"DANILO PAOLICELLI")</f>
        <v>DANILO PAOLICELLI</v>
      </c>
      <c r="G70" t="str">
        <f>IFERROR(__xludf.DUMMYFUNCTION("""COMPUTED_VALUE"""),"VIA DON MINZONI 9")</f>
        <v>VIA DON MINZONI 9</v>
      </c>
      <c r="H70" t="str">
        <f>IFERROR(__xludf.DUMMYFUNCTION("""COMPUTED_VALUE"""),"Matera")</f>
        <v>Matera</v>
      </c>
      <c r="I70">
        <f>IFERROR(__xludf.DUMMYFUNCTION("""COMPUTED_VALUE"""),71.0)</f>
        <v>71</v>
      </c>
      <c r="J70">
        <f>IFERROR(__xludf.DUMMYFUNCTION("""COMPUTED_VALUE"""),483.0)</f>
        <v>483</v>
      </c>
      <c r="K70" t="str">
        <f>IFERROR(__xludf.DUMMYFUNCTION("""COMPUTED_VALUE"""),"Italy")</f>
        <v>Italy</v>
      </c>
      <c r="L70">
        <f>IFERROR(__xludf.DUMMYFUNCTION("""COMPUTED_VALUE"""),5.0)</f>
        <v>5</v>
      </c>
      <c r="M70">
        <f>IFERROR(__xludf.DUMMYFUNCTION("""COMPUTED_VALUE"""),4.0)</f>
        <v>4</v>
      </c>
      <c r="N70">
        <f>IFERROR(__xludf.DUMMYFUNCTION("""COMPUTED_VALUE"""),42760.0)</f>
        <v>42760</v>
      </c>
    </row>
    <row r="71">
      <c r="A71">
        <f>IFERROR(__xludf.DUMMYFUNCTION("""COMPUTED_VALUE"""),522.0)</f>
        <v>522</v>
      </c>
      <c r="B71">
        <f>IFERROR(__xludf.DUMMYFUNCTION("""COMPUTED_VALUE"""),40.6627001)</f>
        <v>40.6627001</v>
      </c>
      <c r="C71">
        <f>IFERROR(__xludf.DUMMYFUNCTION("""COMPUTED_VALUE"""),16.6069833)</f>
        <v>16.6069833</v>
      </c>
      <c r="D71" t="str">
        <f>IFERROR(__xludf.DUMMYFUNCTION("""COMPUTED_VALUE"""),"Affittacamere")</f>
        <v>Affittacamere</v>
      </c>
      <c r="E71" t="str">
        <f>IFERROR(__xludf.DUMMYFUNCTION("""COMPUTED_VALUE"""),"RESIDENZA DEL MAESTRO")</f>
        <v>RESIDENZA DEL MAESTRO</v>
      </c>
      <c r="F71" t="str">
        <f>IFERROR(__xludf.DUMMYFUNCTION("""COMPUTED_VALUE"""),"LUIGI MONTEMURRO")</f>
        <v>LUIGI MONTEMURRO</v>
      </c>
      <c r="G71" t="str">
        <f>IFERROR(__xludf.DUMMYFUNCTION("""COMPUTED_VALUE"""),"VIA ANDREA SERRAO 49")</f>
        <v>VIA ANDREA SERRAO 49</v>
      </c>
      <c r="H71" t="str">
        <f>IFERROR(__xludf.DUMMYFUNCTION("""COMPUTED_VALUE"""),"Matera")</f>
        <v>Matera</v>
      </c>
      <c r="I71">
        <f>IFERROR(__xludf.DUMMYFUNCTION("""COMPUTED_VALUE"""),103.0)</f>
        <v>103</v>
      </c>
      <c r="J71">
        <f>IFERROR(__xludf.DUMMYFUNCTION("""COMPUTED_VALUE"""),175.0)</f>
        <v>175</v>
      </c>
      <c r="K71" t="str">
        <f>IFERROR(__xludf.DUMMYFUNCTION("""COMPUTED_VALUE"""),"Italy")</f>
        <v>Italy</v>
      </c>
      <c r="L71">
        <f>IFERROR(__xludf.DUMMYFUNCTION("""COMPUTED_VALUE"""),12.0)</f>
        <v>12</v>
      </c>
      <c r="M71">
        <f>IFERROR(__xludf.DUMMYFUNCTION("""COMPUTED_VALUE"""),4.0)</f>
        <v>4</v>
      </c>
      <c r="N71">
        <f>IFERROR(__xludf.DUMMYFUNCTION("""COMPUTED_VALUE"""),43095.0)</f>
        <v>43095</v>
      </c>
    </row>
    <row r="72">
      <c r="A72">
        <f>IFERROR(__xludf.DUMMYFUNCTION("""COMPUTED_VALUE"""),523.0)</f>
        <v>523</v>
      </c>
      <c r="B72">
        <f>IFERROR(__xludf.DUMMYFUNCTION("""COMPUTED_VALUE"""),40.6602606)</f>
        <v>40.6602606</v>
      </c>
      <c r="C72">
        <f>IFERROR(__xludf.DUMMYFUNCTION("""COMPUTED_VALUE"""),16.6127892)</f>
        <v>16.6127892</v>
      </c>
      <c r="D72" t="str">
        <f>IFERROR(__xludf.DUMMYFUNCTION("""COMPUTED_VALUE"""),"Affittacamere")</f>
        <v>Affittacamere</v>
      </c>
      <c r="E72" t="str">
        <f>IFERROR(__xludf.DUMMYFUNCTION("""COMPUTED_VALUE"""),"ENJOI MATERA")</f>
        <v>ENJOI MATERA</v>
      </c>
      <c r="F72" t="str">
        <f>IFERROR(__xludf.DUMMYFUNCTION("""COMPUTED_VALUE"""),"AFFARE FATTO SRL")</f>
        <v>AFFARE FATTO SRL</v>
      </c>
      <c r="G72" t="str">
        <f>IFERROR(__xludf.DUMMYFUNCTION("""COMPUTED_VALUE"""),"VIA LUCANA 249")</f>
        <v>VIA LUCANA 249</v>
      </c>
      <c r="H72" t="str">
        <f>IFERROR(__xludf.DUMMYFUNCTION("""COMPUTED_VALUE"""),"Matera")</f>
        <v>Matera</v>
      </c>
      <c r="I72">
        <f>IFERROR(__xludf.DUMMYFUNCTION("""COMPUTED_VALUE"""),159.0)</f>
        <v>159</v>
      </c>
      <c r="J72">
        <f>IFERROR(__xludf.DUMMYFUNCTION("""COMPUTED_VALUE"""),2537.0)</f>
        <v>2537</v>
      </c>
      <c r="K72" t="str">
        <f>IFERROR(__xludf.DUMMYFUNCTION("""COMPUTED_VALUE"""),"Italy")</f>
        <v>Italy</v>
      </c>
      <c r="L72">
        <f>IFERROR(__xludf.DUMMYFUNCTION("""COMPUTED_VALUE"""),11.0)</f>
        <v>11</v>
      </c>
      <c r="M72">
        <f>IFERROR(__xludf.DUMMYFUNCTION("""COMPUTED_VALUE"""),9.0)</f>
        <v>9</v>
      </c>
      <c r="N72">
        <f>IFERROR(__xludf.DUMMYFUNCTION("""COMPUTED_VALUE"""),43213.0)</f>
        <v>43213</v>
      </c>
    </row>
    <row r="73">
      <c r="A73">
        <f>IFERROR(__xludf.DUMMYFUNCTION("""COMPUTED_VALUE"""),524.0)</f>
        <v>524</v>
      </c>
      <c r="B73">
        <f>IFERROR(__xludf.DUMMYFUNCTION("""COMPUTED_VALUE"""),40.6597688)</f>
        <v>40.6597688</v>
      </c>
      <c r="C73">
        <f>IFERROR(__xludf.DUMMYFUNCTION("""COMPUTED_VALUE"""),16.6135545)</f>
        <v>16.6135545</v>
      </c>
      <c r="D73" t="str">
        <f>IFERROR(__xludf.DUMMYFUNCTION("""COMPUTED_VALUE"""),"Affittacamere")</f>
        <v>Affittacamere</v>
      </c>
      <c r="E73" t="str">
        <f>IFERROR(__xludf.DUMMYFUNCTION("""COMPUTED_VALUE"""),"LIMEN MATERA")</f>
        <v>LIMEN MATERA</v>
      </c>
      <c r="F73" t="str">
        <f>IFERROR(__xludf.DUMMYFUNCTION("""COMPUTED_VALUE"""),"THE KIDULT'S ANSWER LABORATORY SR")</f>
        <v>THE KIDULT'S ANSWER LABORATORY SR</v>
      </c>
      <c r="G73" t="str">
        <f>IFERROR(__xludf.DUMMYFUNCTION("""COMPUTED_VALUE"""),"VIA LUCANA 271")</f>
        <v>VIA LUCANA 271</v>
      </c>
      <c r="H73" t="str">
        <f>IFERROR(__xludf.DUMMYFUNCTION("""COMPUTED_VALUE"""),"Matera")</f>
        <v>Matera</v>
      </c>
      <c r="I73">
        <f>IFERROR(__xludf.DUMMYFUNCTION("""COMPUTED_VALUE"""),159.0)</f>
        <v>159</v>
      </c>
      <c r="J73">
        <f>IFERROR(__xludf.DUMMYFUNCTION("""COMPUTED_VALUE"""),3510.0)</f>
        <v>3510</v>
      </c>
      <c r="K73" t="str">
        <f>IFERROR(__xludf.DUMMYFUNCTION("""COMPUTED_VALUE"""),"Italy")</f>
        <v>Italy</v>
      </c>
      <c r="L73">
        <f>IFERROR(__xludf.DUMMYFUNCTION("""COMPUTED_VALUE"""),11.0)</f>
        <v>11</v>
      </c>
      <c r="M73">
        <f>IFERROR(__xludf.DUMMYFUNCTION("""COMPUTED_VALUE"""),9.0)</f>
        <v>9</v>
      </c>
      <c r="N73">
        <f>IFERROR(__xludf.DUMMYFUNCTION("""COMPUTED_VALUE"""),42789.0)</f>
        <v>42789</v>
      </c>
    </row>
    <row r="74">
      <c r="A74">
        <f>IFERROR(__xludf.DUMMYFUNCTION("""COMPUTED_VALUE"""),525.0)</f>
        <v>525</v>
      </c>
      <c r="B74">
        <f>IFERROR(__xludf.DUMMYFUNCTION("""COMPUTED_VALUE"""),40.6814767)</f>
        <v>40.6814767</v>
      </c>
      <c r="C74">
        <f>IFERROR(__xludf.DUMMYFUNCTION("""COMPUTED_VALUE"""),16.5297298)</f>
        <v>16.5297298</v>
      </c>
      <c r="D74" t="str">
        <f>IFERROR(__xludf.DUMMYFUNCTION("""COMPUTED_VALUE"""),"Affittacamere")</f>
        <v>Affittacamere</v>
      </c>
      <c r="E74" t="str">
        <f>IFERROR(__xludf.DUMMYFUNCTION("""COMPUTED_VALUE"""),"VILLA BRUNA COUNTRY HOLIDAY")</f>
        <v>VILLA BRUNA COUNTRY HOLIDAY</v>
      </c>
      <c r="F74" t="str">
        <f>IFERROR(__xludf.DUMMYFUNCTION("""COMPUTED_VALUE"""),"CICCHETTI PAOLO")</f>
        <v>CICCHETTI PAOLO</v>
      </c>
      <c r="G74" t="str">
        <f>IFERROR(__xludf.DUMMYFUNCTION("""COMPUTED_VALUE"""),"C.DA MONACELLE")</f>
        <v>C.DA MONACELLE</v>
      </c>
      <c r="H74" t="str">
        <f>IFERROR(__xludf.DUMMYFUNCTION("""COMPUTED_VALUE"""),"Matera")</f>
        <v>Matera</v>
      </c>
      <c r="I74">
        <f>IFERROR(__xludf.DUMMYFUNCTION("""COMPUTED_VALUE"""),65.0)</f>
        <v>65</v>
      </c>
      <c r="J74">
        <f>IFERROR(__xludf.DUMMYFUNCTION("""COMPUTED_VALUE"""),828.0)</f>
        <v>828</v>
      </c>
      <c r="K74" t="str">
        <f>IFERROR(__xludf.DUMMYFUNCTION("""COMPUTED_VALUE"""),"Italy")</f>
        <v>Italy</v>
      </c>
      <c r="L74">
        <f>IFERROR(__xludf.DUMMYFUNCTION("""COMPUTED_VALUE"""),12.0)</f>
        <v>12</v>
      </c>
      <c r="M74">
        <f>IFERROR(__xludf.DUMMYFUNCTION("""COMPUTED_VALUE"""),5.0)</f>
        <v>5</v>
      </c>
      <c r="N74">
        <f>IFERROR(__xludf.DUMMYFUNCTION("""COMPUTED_VALUE"""),42813.0)</f>
        <v>42813</v>
      </c>
    </row>
    <row r="75">
      <c r="A75">
        <f>IFERROR(__xludf.DUMMYFUNCTION("""COMPUTED_VALUE"""),526.0)</f>
        <v>526</v>
      </c>
      <c r="B75">
        <f>IFERROR(__xludf.DUMMYFUNCTION("""COMPUTED_VALUE"""),40.6663126)</f>
        <v>40.6663126</v>
      </c>
      <c r="C75">
        <f>IFERROR(__xludf.DUMMYFUNCTION("""COMPUTED_VALUE"""),16.6049227)</f>
        <v>16.6049227</v>
      </c>
      <c r="D75" t="str">
        <f>IFERROR(__xludf.DUMMYFUNCTION("""COMPUTED_VALUE"""),"Affittacamere")</f>
        <v>Affittacamere</v>
      </c>
      <c r="E75" t="str">
        <f>IFERROR(__xludf.DUMMYFUNCTION("""COMPUTED_VALUE"""),"PERSIO 31")</f>
        <v>PERSIO 31</v>
      </c>
      <c r="F75" t="str">
        <f>IFERROR(__xludf.DUMMYFUNCTION("""COMPUTED_VALUE"""),"ANGELA BRUNA GRANDE")</f>
        <v>ANGELA BRUNA GRANDE</v>
      </c>
      <c r="G75" t="str">
        <f>IFERROR(__xludf.DUMMYFUNCTION("""COMPUTED_VALUE"""),"VIA ASCANIO PERSIO31")</f>
        <v>VIA ASCANIO PERSIO31</v>
      </c>
      <c r="H75" t="str">
        <f>IFERROR(__xludf.DUMMYFUNCTION("""COMPUTED_VALUE"""),"Matera")</f>
        <v>Matera</v>
      </c>
      <c r="I75">
        <f>IFERROR(__xludf.DUMMYFUNCTION("""COMPUTED_VALUE"""),159.0)</f>
        <v>159</v>
      </c>
      <c r="J75">
        <f>IFERROR(__xludf.DUMMYFUNCTION("""COMPUTED_VALUE"""),3030.0)</f>
        <v>3030</v>
      </c>
      <c r="K75" t="str">
        <f>IFERROR(__xludf.DUMMYFUNCTION("""COMPUTED_VALUE"""),"Italy")</f>
        <v>Italy</v>
      </c>
      <c r="L75">
        <f>IFERROR(__xludf.DUMMYFUNCTION("""COMPUTED_VALUE"""),15.0)</f>
        <v>15</v>
      </c>
      <c r="M75">
        <f>IFERROR(__xludf.DUMMYFUNCTION("""COMPUTED_VALUE"""),4.0)</f>
        <v>4</v>
      </c>
      <c r="N75">
        <f>IFERROR(__xludf.DUMMYFUNCTION("""COMPUTED_VALUE"""),42818.0)</f>
        <v>42818</v>
      </c>
    </row>
    <row r="76">
      <c r="A76">
        <f>IFERROR(__xludf.DUMMYFUNCTION("""COMPUTED_VALUE"""),527.0)</f>
        <v>527</v>
      </c>
      <c r="B76">
        <f>IFERROR(__xludf.DUMMYFUNCTION("""COMPUTED_VALUE"""),40.6739336)</f>
        <v>40.6739336</v>
      </c>
      <c r="C76">
        <f>IFERROR(__xludf.DUMMYFUNCTION("""COMPUTED_VALUE"""),16.6013459)</f>
        <v>16.6013459</v>
      </c>
      <c r="D76" t="str">
        <f>IFERROR(__xludf.DUMMYFUNCTION("""COMPUTED_VALUE"""),"Affittacamere")</f>
        <v>Affittacamere</v>
      </c>
      <c r="E76" t="str">
        <f>IFERROR(__xludf.DUMMYFUNCTION("""COMPUTED_VALUE"""),"CASA DELL'ARTISTA")</f>
        <v>CASA DELL'ARTISTA</v>
      </c>
      <c r="F76" t="str">
        <f>IFERROR(__xludf.DUMMYFUNCTION("""COMPUTED_VALUE"""),"DANILO ACQUASANTA")</f>
        <v>DANILO ACQUASANTA</v>
      </c>
      <c r="G76" t="str">
        <f>IFERROR(__xludf.DUMMYFUNCTION("""COMPUTED_VALUE"""),"VIA LIGURIA 19")</f>
        <v>VIA LIGURIA 19</v>
      </c>
      <c r="H76" t="str">
        <f>IFERROR(__xludf.DUMMYFUNCTION("""COMPUTED_VALUE"""),"Matera")</f>
        <v>Matera</v>
      </c>
      <c r="I76">
        <f>IFERROR(__xludf.DUMMYFUNCTION("""COMPUTED_VALUE"""),159.0)</f>
        <v>159</v>
      </c>
      <c r="J76">
        <f>IFERROR(__xludf.DUMMYFUNCTION("""COMPUTED_VALUE"""),4855.0)</f>
        <v>4855</v>
      </c>
      <c r="K76" t="str">
        <f>IFERROR(__xludf.DUMMYFUNCTION("""COMPUTED_VALUE"""),"Italy")</f>
        <v>Italy</v>
      </c>
      <c r="L76">
        <f>IFERROR(__xludf.DUMMYFUNCTION("""COMPUTED_VALUE"""),2.0)</f>
        <v>2</v>
      </c>
      <c r="M76">
        <f>IFERROR(__xludf.DUMMYFUNCTION("""COMPUTED_VALUE"""),6.0)</f>
        <v>6</v>
      </c>
      <c r="N76">
        <f>IFERROR(__xludf.DUMMYFUNCTION("""COMPUTED_VALUE"""),42565.0)</f>
        <v>42565</v>
      </c>
    </row>
    <row r="77">
      <c r="A77">
        <f>IFERROR(__xludf.DUMMYFUNCTION("""COMPUTED_VALUE"""),528.0)</f>
        <v>528</v>
      </c>
      <c r="B77">
        <f>IFERROR(__xludf.DUMMYFUNCTION("""COMPUTED_VALUE"""),40.6682698)</f>
        <v>40.6682698</v>
      </c>
      <c r="C77">
        <f>IFERROR(__xludf.DUMMYFUNCTION("""COMPUTED_VALUE"""),16.6066923)</f>
        <v>16.6066923</v>
      </c>
      <c r="D77" t="str">
        <f>IFERROR(__xludf.DUMMYFUNCTION("""COMPUTED_VALUE"""),"Affittacamere")</f>
        <v>Affittacamere</v>
      </c>
      <c r="E77" t="str">
        <f>IFERROR(__xludf.DUMMYFUNCTION("""COMPUTED_VALUE"""),"IL GIRAMONDO")</f>
        <v>IL GIRAMONDO</v>
      </c>
      <c r="F77" t="str">
        <f>IFERROR(__xludf.DUMMYFUNCTION("""COMPUTED_VALUE"""),"LAPOLLA DONATELLA")</f>
        <v>LAPOLLA DONATELLA</v>
      </c>
      <c r="G77" t="str">
        <f>IFERROR(__xludf.DUMMYFUNCTION("""COMPUTED_VALUE"""),"VICO XX SETTEMBRE 2 BIS")</f>
        <v>VICO XX SETTEMBRE 2 BIS</v>
      </c>
      <c r="H77" t="str">
        <f>IFERROR(__xludf.DUMMYFUNCTION("""COMPUTED_VALUE"""),"Matera")</f>
        <v>Matera</v>
      </c>
      <c r="I77">
        <f>IFERROR(__xludf.DUMMYFUNCTION("""COMPUTED_VALUE"""),159.0)</f>
        <v>159</v>
      </c>
      <c r="J77">
        <f>IFERROR(__xludf.DUMMYFUNCTION("""COMPUTED_VALUE"""),2737.0)</f>
        <v>2737</v>
      </c>
      <c r="K77" t="str">
        <f>IFERROR(__xludf.DUMMYFUNCTION("""COMPUTED_VALUE"""),"Italy")</f>
        <v>Italy</v>
      </c>
      <c r="L77">
        <f>IFERROR(__xludf.DUMMYFUNCTION("""COMPUTED_VALUE"""),62.0)</f>
        <v>62</v>
      </c>
      <c r="M77">
        <f>IFERROR(__xludf.DUMMYFUNCTION("""COMPUTED_VALUE"""),8.0)</f>
        <v>8</v>
      </c>
      <c r="N77">
        <f>IFERROR(__xludf.DUMMYFUNCTION("""COMPUTED_VALUE"""),42857.0)</f>
        <v>42857</v>
      </c>
    </row>
    <row r="78">
      <c r="A78">
        <f>IFERROR(__xludf.DUMMYFUNCTION("""COMPUTED_VALUE"""),529.0)</f>
        <v>529</v>
      </c>
      <c r="B78">
        <f>IFERROR(__xludf.DUMMYFUNCTION("""COMPUTED_VALUE"""),40.672253)</f>
        <v>40.672253</v>
      </c>
      <c r="C78">
        <f>IFERROR(__xludf.DUMMYFUNCTION("""COMPUTED_VALUE"""),16.6075648)</f>
        <v>16.6075648</v>
      </c>
      <c r="D78" t="str">
        <f>IFERROR(__xludf.DUMMYFUNCTION("""COMPUTED_VALUE"""),"Affittacamere")</f>
        <v>Affittacamere</v>
      </c>
      <c r="E78" t="str">
        <f>IFERROR(__xludf.DUMMYFUNCTION("""COMPUTED_VALUE"""),"BOOK &amp;BED LA GEMMA DEI SASSI")</f>
        <v>BOOK &amp;BED LA GEMMA DEI SASSI</v>
      </c>
      <c r="F78" t="str">
        <f>IFERROR(__xludf.DUMMYFUNCTION("""COMPUTED_VALUE"""),"MANGINI EUSTACHIO VINCENZO")</f>
        <v>MANGINI EUSTACHIO VINCENZO</v>
      </c>
      <c r="G78" t="str">
        <f>IFERROR(__xludf.DUMMYFUNCTION("""COMPUTED_VALUE"""),"VIA GATTINI 36")</f>
        <v>VIA GATTINI 36</v>
      </c>
      <c r="H78" t="str">
        <f>IFERROR(__xludf.DUMMYFUNCTION("""COMPUTED_VALUE"""),"Matera")</f>
        <v>Matera</v>
      </c>
      <c r="I78">
        <f>IFERROR(__xludf.DUMMYFUNCTION("""COMPUTED_VALUE"""),159.0)</f>
        <v>159</v>
      </c>
      <c r="J78">
        <f>IFERROR(__xludf.DUMMYFUNCTION("""COMPUTED_VALUE"""),3718.0)</f>
        <v>3718</v>
      </c>
      <c r="K78" t="str">
        <f>IFERROR(__xludf.DUMMYFUNCTION("""COMPUTED_VALUE"""),"Italy")</f>
        <v>Italy</v>
      </c>
      <c r="L78">
        <f>IFERROR(__xludf.DUMMYFUNCTION("""COMPUTED_VALUE"""),1.0)</f>
        <v>1</v>
      </c>
      <c r="M78">
        <f>IFERROR(__xludf.DUMMYFUNCTION("""COMPUTED_VALUE"""),6.0)</f>
        <v>6</v>
      </c>
      <c r="N78">
        <f>IFERROR(__xludf.DUMMYFUNCTION("""COMPUTED_VALUE"""),42844.0)</f>
        <v>42844</v>
      </c>
    </row>
    <row r="79">
      <c r="A79">
        <f>IFERROR(__xludf.DUMMYFUNCTION("""COMPUTED_VALUE"""),530.0)</f>
        <v>530</v>
      </c>
      <c r="B79">
        <f>IFERROR(__xludf.DUMMYFUNCTION("""COMPUTED_VALUE"""),40.733959)</f>
        <v>40.733959</v>
      </c>
      <c r="C79">
        <f>IFERROR(__xludf.DUMMYFUNCTION("""COMPUTED_VALUE"""),16.570348)</f>
        <v>16.570348</v>
      </c>
      <c r="D79" t="str">
        <f>IFERROR(__xludf.DUMMYFUNCTION("""COMPUTED_VALUE"""),"Affittacamere")</f>
        <v>Affittacamere</v>
      </c>
      <c r="E79" t="str">
        <f>IFERROR(__xludf.DUMMYFUNCTION("""COMPUTED_VALUE"""),"LA MAISON")</f>
        <v>LA MAISON</v>
      </c>
      <c r="F79" t="str">
        <f>IFERROR(__xludf.DUMMYFUNCTION("""COMPUTED_VALUE"""),"APPIO FRANCESCO")</f>
        <v>APPIO FRANCESCO</v>
      </c>
      <c r="G79" t="str">
        <f>IFERROR(__xludf.DUMMYFUNCTION("""COMPUTED_VALUE"""),"CONTRADA CICCOLOCANE")</f>
        <v>CONTRADA CICCOLOCANE</v>
      </c>
      <c r="H79" t="str">
        <f>IFERROR(__xludf.DUMMYFUNCTION("""COMPUTED_VALUE"""),"Matera")</f>
        <v>Matera</v>
      </c>
      <c r="I79">
        <f>IFERROR(__xludf.DUMMYFUNCTION("""COMPUTED_VALUE"""),13.0)</f>
        <v>13</v>
      </c>
      <c r="J79">
        <f>IFERROR(__xludf.DUMMYFUNCTION("""COMPUTED_VALUE"""),622.0)</f>
        <v>622</v>
      </c>
      <c r="K79" t="str">
        <f>IFERROR(__xludf.DUMMYFUNCTION("""COMPUTED_VALUE"""),"Italy")</f>
        <v>Italy</v>
      </c>
      <c r="L79">
        <f>IFERROR(__xludf.DUMMYFUNCTION("""COMPUTED_VALUE"""),4.0)</f>
        <v>4</v>
      </c>
      <c r="M79">
        <f>IFERROR(__xludf.DUMMYFUNCTION("""COMPUTED_VALUE"""),12.0)</f>
        <v>12</v>
      </c>
      <c r="N79">
        <f>IFERROR(__xludf.DUMMYFUNCTION("""COMPUTED_VALUE"""),42866.0)</f>
        <v>42866</v>
      </c>
    </row>
    <row r="80">
      <c r="A80">
        <f>IFERROR(__xludf.DUMMYFUNCTION("""COMPUTED_VALUE"""),531.0)</f>
        <v>531</v>
      </c>
      <c r="B80">
        <f>IFERROR(__xludf.DUMMYFUNCTION("""COMPUTED_VALUE"""),40.6672354)</f>
        <v>40.6672354</v>
      </c>
      <c r="C80">
        <f>IFERROR(__xludf.DUMMYFUNCTION("""COMPUTED_VALUE"""),16.6036485)</f>
        <v>16.6036485</v>
      </c>
      <c r="D80" t="str">
        <f>IFERROR(__xludf.DUMMYFUNCTION("""COMPUTED_VALUE"""),"Affittacamere")</f>
        <v>Affittacamere</v>
      </c>
      <c r="E80" t="str">
        <f>IFERROR(__xludf.DUMMYFUNCTION("""COMPUTED_VALUE"""),"MATERA GUEST HOUSE")</f>
        <v>MATERA GUEST HOUSE</v>
      </c>
      <c r="F80" t="str">
        <f>IFERROR(__xludf.DUMMYFUNCTION("""COMPUTED_VALUE"""),"DI CORLETO FRANCESCO")</f>
        <v>DI CORLETO FRANCESCO</v>
      </c>
      <c r="G80" t="str">
        <f>IFERROR(__xludf.DUMMYFUNCTION("""COMPUTED_VALUE"""),"VIA ROMA 28")</f>
        <v>VIA ROMA 28</v>
      </c>
      <c r="H80" t="str">
        <f>IFERROR(__xludf.DUMMYFUNCTION("""COMPUTED_VALUE"""),"Matera")</f>
        <v>Matera</v>
      </c>
      <c r="I80">
        <f>IFERROR(__xludf.DUMMYFUNCTION("""COMPUTED_VALUE"""),159.0)</f>
        <v>159</v>
      </c>
      <c r="J80">
        <f>IFERROR(__xludf.DUMMYFUNCTION("""COMPUTED_VALUE"""),3804.0)</f>
        <v>3804</v>
      </c>
      <c r="K80" t="str">
        <f>IFERROR(__xludf.DUMMYFUNCTION("""COMPUTED_VALUE"""),"Italy")</f>
        <v>Italy</v>
      </c>
      <c r="L80">
        <f>IFERROR(__xludf.DUMMYFUNCTION("""COMPUTED_VALUE"""),22.0)</f>
        <v>22</v>
      </c>
      <c r="M80">
        <f>IFERROR(__xludf.DUMMYFUNCTION("""COMPUTED_VALUE"""),7.0)</f>
        <v>7</v>
      </c>
      <c r="N80">
        <f>IFERROR(__xludf.DUMMYFUNCTION("""COMPUTED_VALUE"""),42867.0)</f>
        <v>42867</v>
      </c>
    </row>
    <row r="81">
      <c r="A81">
        <f>IFERROR(__xludf.DUMMYFUNCTION("""COMPUTED_VALUE"""),532.0)</f>
        <v>532</v>
      </c>
      <c r="B81">
        <f>IFERROR(__xludf.DUMMYFUNCTION("""COMPUTED_VALUE"""),40.6639544)</f>
        <v>40.6639544</v>
      </c>
      <c r="C81">
        <f>IFERROR(__xludf.DUMMYFUNCTION("""COMPUTED_VALUE"""),16.6111861)</f>
        <v>16.6111861</v>
      </c>
      <c r="D81" t="str">
        <f>IFERROR(__xludf.DUMMYFUNCTION("""COMPUTED_VALUE"""),"Affittacamere")</f>
        <v>Affittacamere</v>
      </c>
      <c r="E81" t="str">
        <f>IFERROR(__xludf.DUMMYFUNCTION("""COMPUTED_VALUE"""),"ALLE GROTTE")</f>
        <v>ALLE GROTTE</v>
      </c>
      <c r="F81" t="str">
        <f>IFERROR(__xludf.DUMMYFUNCTION("""COMPUTED_VALUE"""),"ROSANGELA DIGIROLAMO")</f>
        <v>ROSANGELA DIGIROLAMO</v>
      </c>
      <c r="G81" t="str">
        <f>IFERROR(__xludf.DUMMYFUNCTION("""COMPUTED_VALUE"""),"VIA B. BUOZZI 170-172")</f>
        <v>VIA B. BUOZZI 170-172</v>
      </c>
      <c r="H81" t="str">
        <f>IFERROR(__xludf.DUMMYFUNCTION("""COMPUTED_VALUE"""),"Matera")</f>
        <v>Matera</v>
      </c>
      <c r="I81">
        <f>IFERROR(__xludf.DUMMYFUNCTION("""COMPUTED_VALUE"""),159.0)</f>
        <v>159</v>
      </c>
      <c r="J81">
        <f>IFERROR(__xludf.DUMMYFUNCTION("""COMPUTED_VALUE"""),2125.0)</f>
        <v>2125</v>
      </c>
      <c r="K81" t="str">
        <f>IFERROR(__xludf.DUMMYFUNCTION("""COMPUTED_VALUE"""),"Italy")</f>
        <v>Italy</v>
      </c>
      <c r="L81">
        <f>IFERROR(__xludf.DUMMYFUNCTION("""COMPUTED_VALUE"""),1.0)</f>
        <v>1</v>
      </c>
      <c r="M81">
        <f>IFERROR(__xludf.DUMMYFUNCTION("""COMPUTED_VALUE"""),6.0)</f>
        <v>6</v>
      </c>
      <c r="N81">
        <f>IFERROR(__xludf.DUMMYFUNCTION("""COMPUTED_VALUE"""),42837.0)</f>
        <v>42837</v>
      </c>
    </row>
    <row r="82">
      <c r="A82">
        <f>IFERROR(__xludf.DUMMYFUNCTION("""COMPUTED_VALUE"""),533.0)</f>
        <v>533</v>
      </c>
      <c r="B82">
        <f>IFERROR(__xludf.DUMMYFUNCTION("""COMPUTED_VALUE"""),40.6744533)</f>
        <v>40.6744533</v>
      </c>
      <c r="C82">
        <f>IFERROR(__xludf.DUMMYFUNCTION("""COMPUTED_VALUE"""),16.5996999)</f>
        <v>16.5996999</v>
      </c>
      <c r="D82" t="str">
        <f>IFERROR(__xludf.DUMMYFUNCTION("""COMPUTED_VALUE"""),"Affittacamere")</f>
        <v>Affittacamere</v>
      </c>
      <c r="E82" t="str">
        <f>IFERROR(__xludf.DUMMYFUNCTION("""COMPUTED_VALUE"""),"DIMORA DELL'ANNUNZIATA")</f>
        <v>DIMORA DELL'ANNUNZIATA</v>
      </c>
      <c r="F82" t="str">
        <f>IFERROR(__xludf.DUMMYFUNCTION("""COMPUTED_VALUE"""),"RICCARDI ANNUNZIATA")</f>
        <v>RICCARDI ANNUNZIATA</v>
      </c>
      <c r="G82" t="str">
        <f>IFERROR(__xludf.DUMMYFUNCTION("""COMPUTED_VALUE"""),"VIA SARRA 16")</f>
        <v>VIA SARRA 16</v>
      </c>
      <c r="H82" t="str">
        <f>IFERROR(__xludf.DUMMYFUNCTION("""COMPUTED_VALUE"""),"Matera")</f>
        <v>Matera</v>
      </c>
      <c r="I82">
        <f>IFERROR(__xludf.DUMMYFUNCTION("""COMPUTED_VALUE"""),159.0)</f>
        <v>159</v>
      </c>
      <c r="J82">
        <f>IFERROR(__xludf.DUMMYFUNCTION("""COMPUTED_VALUE"""),4803.0)</f>
        <v>4803</v>
      </c>
      <c r="K82" t="str">
        <f>IFERROR(__xludf.DUMMYFUNCTION("""COMPUTED_VALUE"""),"Italy")</f>
        <v>Italy</v>
      </c>
      <c r="L82">
        <f>IFERROR(__xludf.DUMMYFUNCTION("""COMPUTED_VALUE"""),4.0)</f>
        <v>4</v>
      </c>
      <c r="M82">
        <f>IFERROR(__xludf.DUMMYFUNCTION("""COMPUTED_VALUE"""),4.0)</f>
        <v>4</v>
      </c>
      <c r="N82">
        <f>IFERROR(__xludf.DUMMYFUNCTION("""COMPUTED_VALUE"""),42871.0)</f>
        <v>42871</v>
      </c>
    </row>
    <row r="83">
      <c r="A83">
        <f>IFERROR(__xludf.DUMMYFUNCTION("""COMPUTED_VALUE"""),534.0)</f>
        <v>534</v>
      </c>
      <c r="B83">
        <f>IFERROR(__xludf.DUMMYFUNCTION("""COMPUTED_VALUE"""),40.663697)</f>
        <v>40.663697</v>
      </c>
      <c r="C83">
        <f>IFERROR(__xludf.DUMMYFUNCTION("""COMPUTED_VALUE"""),16.609497)</f>
        <v>16.609497</v>
      </c>
      <c r="D83" t="str">
        <f>IFERROR(__xludf.DUMMYFUNCTION("""COMPUTED_VALUE"""),"Affittacamere")</f>
        <v>Affittacamere</v>
      </c>
      <c r="E83" t="str">
        <f>IFERROR(__xludf.DUMMYFUNCTION("""COMPUTED_VALUE"""),"A VISTA SUI SASSI CIVICO  16")</f>
        <v>A VISTA SUI SASSI CIVICO  16</v>
      </c>
      <c r="F83" t="str">
        <f>IFERROR(__xludf.DUMMYFUNCTION("""COMPUTED_VALUE"""),"ANNUNZIATA GRAZIANO")</f>
        <v>ANNUNZIATA GRAZIANO</v>
      </c>
      <c r="G83" t="str">
        <f>IFERROR(__xludf.DUMMYFUNCTION("""COMPUTED_VALUE"""),"VICO CASE NUOVE 16")</f>
        <v>VICO CASE NUOVE 16</v>
      </c>
      <c r="H83" t="str">
        <f>IFERROR(__xludf.DUMMYFUNCTION("""COMPUTED_VALUE"""),"Matera")</f>
        <v>Matera</v>
      </c>
      <c r="I83">
        <f>IFERROR(__xludf.DUMMYFUNCTION("""COMPUTED_VALUE"""),159.0)</f>
        <v>159</v>
      </c>
      <c r="J83">
        <f>IFERROR(__xludf.DUMMYFUNCTION("""COMPUTED_VALUE"""),2573.0)</f>
        <v>2573</v>
      </c>
      <c r="K83" t="str">
        <f>IFERROR(__xludf.DUMMYFUNCTION("""COMPUTED_VALUE"""),"Italy")</f>
        <v>Italy</v>
      </c>
      <c r="L83">
        <f>IFERROR(__xludf.DUMMYFUNCTION("""COMPUTED_VALUE"""),2.0)</f>
        <v>2</v>
      </c>
      <c r="M83">
        <f>IFERROR(__xludf.DUMMYFUNCTION("""COMPUTED_VALUE"""),6.0)</f>
        <v>6</v>
      </c>
      <c r="N83">
        <f>IFERROR(__xludf.DUMMYFUNCTION("""COMPUTED_VALUE"""),42893.0)</f>
        <v>42893</v>
      </c>
    </row>
    <row r="84">
      <c r="A84">
        <f>IFERROR(__xludf.DUMMYFUNCTION("""COMPUTED_VALUE"""),535.0)</f>
        <v>535</v>
      </c>
      <c r="B84">
        <f>IFERROR(__xludf.DUMMYFUNCTION("""COMPUTED_VALUE"""),40.6633785)</f>
        <v>40.6633785</v>
      </c>
      <c r="C84">
        <f>IFERROR(__xludf.DUMMYFUNCTION("""COMPUTED_VALUE"""),16.6119767)</f>
        <v>16.6119767</v>
      </c>
      <c r="D84" t="str">
        <f>IFERROR(__xludf.DUMMYFUNCTION("""COMPUTED_VALUE"""),"Affittacamere")</f>
        <v>Affittacamere</v>
      </c>
      <c r="E84" t="str">
        <f>IFERROR(__xludf.DUMMYFUNCTION("""COMPUTED_VALUE"""),"ALLA DOLCE VITA")</f>
        <v>ALLA DOLCE VITA</v>
      </c>
      <c r="F84" t="str">
        <f>IFERROR(__xludf.DUMMYFUNCTION("""COMPUTED_VALUE"""),"EUSTACHIO V. ALTIERI")</f>
        <v>EUSTACHIO V. ALTIERI</v>
      </c>
      <c r="G84" t="str">
        <f>IFERROR(__xludf.DUMMYFUNCTION("""COMPUTED_VALUE"""),"RIONE MALVE 51")</f>
        <v>RIONE MALVE 51</v>
      </c>
      <c r="H84" t="str">
        <f>IFERROR(__xludf.DUMMYFUNCTION("""COMPUTED_VALUE"""),"Matera")</f>
        <v>Matera</v>
      </c>
      <c r="I84">
        <f>IFERROR(__xludf.DUMMYFUNCTION("""COMPUTED_VALUE"""),159.0)</f>
        <v>159</v>
      </c>
      <c r="J84">
        <f>IFERROR(__xludf.DUMMYFUNCTION("""COMPUTED_VALUE"""),2218.0)</f>
        <v>2218</v>
      </c>
      <c r="K84" t="str">
        <f>IFERROR(__xludf.DUMMYFUNCTION("""COMPUTED_VALUE"""),"Italy")</f>
        <v>Italy</v>
      </c>
      <c r="L84">
        <f>IFERROR(__xludf.DUMMYFUNCTION("""COMPUTED_VALUE"""),4.0)</f>
        <v>4</v>
      </c>
      <c r="M84">
        <f>IFERROR(__xludf.DUMMYFUNCTION("""COMPUTED_VALUE"""),14.0)</f>
        <v>14</v>
      </c>
      <c r="N84">
        <f>IFERROR(__xludf.DUMMYFUNCTION("""COMPUTED_VALUE"""),42905.0)</f>
        <v>42905</v>
      </c>
    </row>
    <row r="85">
      <c r="A85">
        <f>IFERROR(__xludf.DUMMYFUNCTION("""COMPUTED_VALUE"""),536.0)</f>
        <v>536</v>
      </c>
      <c r="B85">
        <f>IFERROR(__xludf.DUMMYFUNCTION("""COMPUTED_VALUE"""),40.661256)</f>
        <v>40.661256</v>
      </c>
      <c r="C85">
        <f>IFERROR(__xludf.DUMMYFUNCTION("""COMPUTED_VALUE"""),16.6123327)</f>
        <v>16.6123327</v>
      </c>
      <c r="D85" t="str">
        <f>IFERROR(__xludf.DUMMYFUNCTION("""COMPUTED_VALUE"""),"Affittacamere")</f>
        <v>Affittacamere</v>
      </c>
      <c r="E85" t="str">
        <f>IFERROR(__xludf.DUMMYFUNCTION("""COMPUTED_VALUE"""),"ACCADIESSE CAMERE")</f>
        <v>ACCADIESSE CAMERE</v>
      </c>
      <c r="F85" t="str">
        <f>IFERROR(__xludf.DUMMYFUNCTION("""COMPUTED_VALUE"""),"MATERAMA DI ROCCO CORRADO&amp;C. SNC")</f>
        <v>MATERAMA DI ROCCO CORRADO&amp;C. SNC</v>
      </c>
      <c r="G85" t="str">
        <f>IFERROR(__xludf.DUMMYFUNCTION("""COMPUTED_VALUE"""),"vico 3° casalnuovo 16")</f>
        <v>vico 3° casalnuovo 16</v>
      </c>
      <c r="H85" t="str">
        <f>IFERROR(__xludf.DUMMYFUNCTION("""COMPUTED_VALUE"""),"Matera")</f>
        <v>Matera</v>
      </c>
      <c r="I85">
        <f>IFERROR(__xludf.DUMMYFUNCTION("""COMPUTED_VALUE"""),159.0)</f>
        <v>159</v>
      </c>
      <c r="J85">
        <f>IFERROR(__xludf.DUMMYFUNCTION("""COMPUTED_VALUE"""),2995.0)</f>
        <v>2995</v>
      </c>
      <c r="K85" t="str">
        <f>IFERROR(__xludf.DUMMYFUNCTION("""COMPUTED_VALUE"""),"Italy")</f>
        <v>Italy</v>
      </c>
      <c r="L85">
        <f>IFERROR(__xludf.DUMMYFUNCTION("""COMPUTED_VALUE"""),31.0)</f>
        <v>31</v>
      </c>
      <c r="M85">
        <f>IFERROR(__xludf.DUMMYFUNCTION("""COMPUTED_VALUE"""),8.0)</f>
        <v>8</v>
      </c>
      <c r="N85">
        <f>IFERROR(__xludf.DUMMYFUNCTION("""COMPUTED_VALUE"""),42863.0)</f>
        <v>42863</v>
      </c>
    </row>
    <row r="86">
      <c r="A86">
        <f>IFERROR(__xludf.DUMMYFUNCTION("""COMPUTED_VALUE"""),537.0)</f>
        <v>537</v>
      </c>
      <c r="B86">
        <f>IFERROR(__xludf.DUMMYFUNCTION("""COMPUTED_VALUE"""),40.6683837)</f>
        <v>40.6683837</v>
      </c>
      <c r="C86">
        <f>IFERROR(__xludf.DUMMYFUNCTION("""COMPUTED_VALUE"""),16.6087421)</f>
        <v>16.6087421</v>
      </c>
      <c r="D86" t="str">
        <f>IFERROR(__xludf.DUMMYFUNCTION("""COMPUTED_VALUE"""),"Affittacamere")</f>
        <v>Affittacamere</v>
      </c>
      <c r="E86" t="str">
        <f>IFERROR(__xludf.DUMMYFUNCTION("""COMPUTED_VALUE"""),"LOCANDA DI S. MARTINO DEPENDANCE E SPA")</f>
        <v>LOCANDA DI S. MARTINO DEPENDANCE E SPA</v>
      </c>
      <c r="F86" t="str">
        <f>IFERROR(__xludf.DUMMYFUNCTION("""COMPUTED_VALUE"""),"CE.DA.T.S. SRL")</f>
        <v>CE.DA.T.S. SRL</v>
      </c>
      <c r="G86" t="str">
        <f>IFERROR(__xludf.DUMMYFUNCTION("""COMPUTED_VALUE"""),"RIONE S. BIAGIO 20.21.74.75.76.77")</f>
        <v>RIONE S. BIAGIO 20.21.74.75.76.77</v>
      </c>
      <c r="H86" t="str">
        <f>IFERROR(__xludf.DUMMYFUNCTION("""COMPUTED_VALUE"""),"Matera")</f>
        <v>Matera</v>
      </c>
      <c r="I86">
        <f>IFERROR(__xludf.DUMMYFUNCTION("""COMPUTED_VALUE"""),159.0)</f>
        <v>159</v>
      </c>
      <c r="J86">
        <f>IFERROR(__xludf.DUMMYFUNCTION("""COMPUTED_VALUE"""),190.0)</f>
        <v>190</v>
      </c>
      <c r="K86" t="str">
        <f>IFERROR(__xludf.DUMMYFUNCTION("""COMPUTED_VALUE"""),"Italy")</f>
        <v>Italy</v>
      </c>
      <c r="L86">
        <f>IFERROR(__xludf.DUMMYFUNCTION("""COMPUTED_VALUE"""),1.0)</f>
        <v>1</v>
      </c>
      <c r="M86">
        <f>IFERROR(__xludf.DUMMYFUNCTION("""COMPUTED_VALUE"""),10.0)</f>
        <v>10</v>
      </c>
      <c r="N86">
        <f>IFERROR(__xludf.DUMMYFUNCTION("""COMPUTED_VALUE"""),42956.0)</f>
        <v>42956</v>
      </c>
    </row>
    <row r="87">
      <c r="A87">
        <f>IFERROR(__xludf.DUMMYFUNCTION("""COMPUTED_VALUE"""),538.0)</f>
        <v>538</v>
      </c>
      <c r="B87">
        <f>IFERROR(__xludf.DUMMYFUNCTION("""COMPUTED_VALUE"""),40.6655357)</f>
        <v>40.6655357</v>
      </c>
      <c r="C87">
        <f>IFERROR(__xludf.DUMMYFUNCTION("""COMPUTED_VALUE"""),16.6022378)</f>
        <v>16.6022378</v>
      </c>
      <c r="D87" t="str">
        <f>IFERROR(__xludf.DUMMYFUNCTION("""COMPUTED_VALUE"""),"Affittacamere")</f>
        <v>Affittacamere</v>
      </c>
      <c r="E87" t="str">
        <f>IFERROR(__xludf.DUMMYFUNCTION("""COMPUTED_VALUE"""),"ROSELLA'S ROOMS")</f>
        <v>ROSELLA'S ROOMS</v>
      </c>
      <c r="F87" t="str">
        <f>IFERROR(__xludf.DUMMYFUNCTION("""COMPUTED_VALUE"""),"CASERTA GIUSEPPE")</f>
        <v>CASERTA GIUSEPPE</v>
      </c>
      <c r="G87" t="str">
        <f>IFERROR(__xludf.DUMMYFUNCTION("""COMPUTED_VALUE"""),"VIA CAPPELLUTI 18")</f>
        <v>VIA CAPPELLUTI 18</v>
      </c>
      <c r="H87" t="str">
        <f>IFERROR(__xludf.DUMMYFUNCTION("""COMPUTED_VALUE"""),"Matera")</f>
        <v>Matera</v>
      </c>
      <c r="I87">
        <f>IFERROR(__xludf.DUMMYFUNCTION("""COMPUTED_VALUE"""),71.0)</f>
        <v>71</v>
      </c>
      <c r="J87">
        <f>IFERROR(__xludf.DUMMYFUNCTION("""COMPUTED_VALUE"""),221.0)</f>
        <v>221</v>
      </c>
      <c r="K87" t="str">
        <f>IFERROR(__xludf.DUMMYFUNCTION("""COMPUTED_VALUE"""),"Italy")</f>
        <v>Italy</v>
      </c>
      <c r="L87">
        <f>IFERROR(__xludf.DUMMYFUNCTION("""COMPUTED_VALUE"""),28.0)</f>
        <v>28</v>
      </c>
      <c r="M87">
        <f>IFERROR(__xludf.DUMMYFUNCTION("""COMPUTED_VALUE"""),8.0)</f>
        <v>8</v>
      </c>
      <c r="N87">
        <f>IFERROR(__xludf.DUMMYFUNCTION("""COMPUTED_VALUE"""),42956.0)</f>
        <v>42956</v>
      </c>
    </row>
    <row r="88">
      <c r="A88">
        <f>IFERROR(__xludf.DUMMYFUNCTION("""COMPUTED_VALUE"""),539.0)</f>
        <v>539</v>
      </c>
      <c r="B88">
        <f>IFERROR(__xludf.DUMMYFUNCTION("""COMPUTED_VALUE"""),40.662947)</f>
        <v>40.662947</v>
      </c>
      <c r="C88">
        <f>IFERROR(__xludf.DUMMYFUNCTION("""COMPUTED_VALUE"""),16.611805)</f>
        <v>16.611805</v>
      </c>
      <c r="D88" t="str">
        <f>IFERROR(__xludf.DUMMYFUNCTION("""COMPUTED_VALUE"""),"Affittacamere")</f>
        <v>Affittacamere</v>
      </c>
      <c r="E88" t="str">
        <f>IFERROR(__xludf.DUMMYFUNCTION("""COMPUTED_VALUE"""),"IL GECO")</f>
        <v>IL GECO</v>
      </c>
      <c r="F88" t="str">
        <f>IFERROR(__xludf.DUMMYFUNCTION("""COMPUTED_VALUE"""),"DANIELA ALTIERI")</f>
        <v>DANIELA ALTIERI</v>
      </c>
      <c r="G88" t="str">
        <f>IFERROR(__xludf.DUMMYFUNCTION("""COMPUTED_VALUE"""),"RIONE MALVE  76")</f>
        <v>RIONE MALVE  76</v>
      </c>
      <c r="H88" t="str">
        <f>IFERROR(__xludf.DUMMYFUNCTION("""COMPUTED_VALUE"""),"Matera")</f>
        <v>Matera</v>
      </c>
      <c r="I88">
        <f>IFERROR(__xludf.DUMMYFUNCTION("""COMPUTED_VALUE"""),159.0)</f>
        <v>159</v>
      </c>
      <c r="J88">
        <f>IFERROR(__xludf.DUMMYFUNCTION("""COMPUTED_VALUE"""),2263.0)</f>
        <v>2263</v>
      </c>
      <c r="K88" t="str">
        <f>IFERROR(__xludf.DUMMYFUNCTION("""COMPUTED_VALUE"""),"Italy")</f>
        <v>Italy</v>
      </c>
      <c r="L88">
        <f>IFERROR(__xludf.DUMMYFUNCTION("""COMPUTED_VALUE"""),1.0)</f>
        <v>1</v>
      </c>
      <c r="M88">
        <f>IFERROR(__xludf.DUMMYFUNCTION("""COMPUTED_VALUE"""),5.0)</f>
        <v>5</v>
      </c>
      <c r="N88">
        <f>IFERROR(__xludf.DUMMYFUNCTION("""COMPUTED_VALUE"""),42985.0)</f>
        <v>42985</v>
      </c>
    </row>
    <row r="89">
      <c r="A89">
        <f>IFERROR(__xludf.DUMMYFUNCTION("""COMPUTED_VALUE"""),540.0)</f>
        <v>540</v>
      </c>
      <c r="B89">
        <f>IFERROR(__xludf.DUMMYFUNCTION("""COMPUTED_VALUE"""),40.666275)</f>
        <v>40.666275</v>
      </c>
      <c r="C89">
        <f>IFERROR(__xludf.DUMMYFUNCTION("""COMPUTED_VALUE"""),16.607058)</f>
        <v>16.607058</v>
      </c>
      <c r="D89" t="str">
        <f>IFERROR(__xludf.DUMMYFUNCTION("""COMPUTED_VALUE"""),"Affittacamere")</f>
        <v>Affittacamere</v>
      </c>
      <c r="E89" t="str">
        <f>IFERROR(__xludf.DUMMYFUNCTION("""COMPUTED_VALUE"""),"SOGNANDO MATERA")</f>
        <v>SOGNANDO MATERA</v>
      </c>
      <c r="F89" t="str">
        <f>IFERROR(__xludf.DUMMYFUNCTION("""COMPUTED_VALUE"""),"SOGNANDO MATERA SRLS")</f>
        <v>SOGNANDO MATERA SRLS</v>
      </c>
      <c r="G89" t="str">
        <f>IFERROR(__xludf.DUMMYFUNCTION("""COMPUTED_VALUE"""),"VICO SAN GIUSEPPE 13")</f>
        <v>VICO SAN GIUSEPPE 13</v>
      </c>
      <c r="H89" t="str">
        <f>IFERROR(__xludf.DUMMYFUNCTION("""COMPUTED_VALUE"""),"Matera")</f>
        <v>Matera</v>
      </c>
      <c r="I89">
        <f>IFERROR(__xludf.DUMMYFUNCTION("""COMPUTED_VALUE"""),159.0)</f>
        <v>159</v>
      </c>
      <c r="J89">
        <f>IFERROR(__xludf.DUMMYFUNCTION("""COMPUTED_VALUE"""),664.0)</f>
        <v>664</v>
      </c>
      <c r="K89" t="str">
        <f>IFERROR(__xludf.DUMMYFUNCTION("""COMPUTED_VALUE"""),"Italy")</f>
        <v>Italy</v>
      </c>
      <c r="L89">
        <f>IFERROR(__xludf.DUMMYFUNCTION("""COMPUTED_VALUE"""),1.0)</f>
        <v>1</v>
      </c>
      <c r="M89">
        <f>IFERROR(__xludf.DUMMYFUNCTION("""COMPUTED_VALUE"""),4.0)</f>
        <v>4</v>
      </c>
      <c r="N89">
        <f>IFERROR(__xludf.DUMMYFUNCTION("""COMPUTED_VALUE"""),42872.0)</f>
        <v>42872</v>
      </c>
    </row>
    <row r="90">
      <c r="A90">
        <f>IFERROR(__xludf.DUMMYFUNCTION("""COMPUTED_VALUE"""),541.0)</f>
        <v>541</v>
      </c>
      <c r="B90">
        <f>IFERROR(__xludf.DUMMYFUNCTION("""COMPUTED_VALUE"""),40.6655357)</f>
        <v>40.6655357</v>
      </c>
      <c r="C90">
        <f>IFERROR(__xludf.DUMMYFUNCTION("""COMPUTED_VALUE"""),16.6022378)</f>
        <v>16.6022378</v>
      </c>
      <c r="D90" t="str">
        <f>IFERROR(__xludf.DUMMYFUNCTION("""COMPUTED_VALUE"""),"Affittacamere")</f>
        <v>Affittacamere</v>
      </c>
      <c r="E90" t="str">
        <f>IFERROR(__xludf.DUMMYFUNCTION("""COMPUTED_VALUE"""),"LE DUE NICCHIE")</f>
        <v>LE DUE NICCHIE</v>
      </c>
      <c r="F90" t="str">
        <f>IFERROR(__xludf.DUMMYFUNCTION("""COMPUTED_VALUE"""),"GIULIO SIGNORELLA")</f>
        <v>GIULIO SIGNORELLA</v>
      </c>
      <c r="G90" t="str">
        <f>IFERROR(__xludf.DUMMYFUNCTION("""COMPUTED_VALUE"""),"VIA CAPPELLUTI 18")</f>
        <v>VIA CAPPELLUTI 18</v>
      </c>
      <c r="H90" t="str">
        <f>IFERROR(__xludf.DUMMYFUNCTION("""COMPUTED_VALUE"""),"Matera")</f>
        <v>Matera</v>
      </c>
      <c r="I90">
        <f>IFERROR(__xludf.DUMMYFUNCTION("""COMPUTED_VALUE"""),71.0)</f>
        <v>71</v>
      </c>
      <c r="J90">
        <f>IFERROR(__xludf.DUMMYFUNCTION("""COMPUTED_VALUE"""),221.0)</f>
        <v>221</v>
      </c>
      <c r="K90" t="str">
        <f>IFERROR(__xludf.DUMMYFUNCTION("""COMPUTED_VALUE"""),"Italy")</f>
        <v>Italy</v>
      </c>
      <c r="L90">
        <f>IFERROR(__xludf.DUMMYFUNCTION("""COMPUTED_VALUE"""),4.0)</f>
        <v>4</v>
      </c>
      <c r="M90">
        <f>IFERROR(__xludf.DUMMYFUNCTION("""COMPUTED_VALUE"""),5.0)</f>
        <v>5</v>
      </c>
      <c r="N90">
        <f>IFERROR(__xludf.DUMMYFUNCTION("""COMPUTED_VALUE"""),43100.0)</f>
        <v>43100</v>
      </c>
    </row>
    <row r="91">
      <c r="A91">
        <f>IFERROR(__xludf.DUMMYFUNCTION("""COMPUTED_VALUE"""),795.0)</f>
        <v>795</v>
      </c>
      <c r="B91">
        <f>IFERROR(__xludf.DUMMYFUNCTION("""COMPUTED_VALUE"""),40.6646531372833)</f>
        <v>40.66465314</v>
      </c>
      <c r="C91">
        <f>IFERROR(__xludf.DUMMYFUNCTION("""COMPUTED_VALUE"""),16.6116032541825)</f>
        <v>16.61160325</v>
      </c>
      <c r="D91" t="str">
        <f>IFERROR(__xludf.DUMMYFUNCTION("""COMPUTED_VALUE"""),"Affittacamere")</f>
        <v>Affittacamere</v>
      </c>
      <c r="E91" t="str">
        <f>IFERROR(__xludf.DUMMYFUNCTION("""COMPUTED_VALUE"""),"AGLI ARCHI -DIMORE STORICHE")</f>
        <v>AGLI ARCHI -DIMORE STORICHE</v>
      </c>
      <c r="F91" t="str">
        <f>IFERROR(__xludf.DUMMYFUNCTION("""COMPUTED_VALUE"""),"NOVIELLO MICHELE")</f>
        <v>NOVIELLO MICHELE</v>
      </c>
      <c r="G91" t="str">
        <f>IFERROR(__xludf.DUMMYFUNCTION("""COMPUTED_VALUE"""),"rione pianelle/gradelle s.pietro caveoso")</f>
        <v>rione pianelle/gradelle s.pietro caveoso</v>
      </c>
      <c r="H91" t="str">
        <f>IFERROR(__xludf.DUMMYFUNCTION("""COMPUTED_VALUE"""),"Matera")</f>
        <v>Matera</v>
      </c>
      <c r="I91">
        <f>IFERROR(__xludf.DUMMYFUNCTION("""COMPUTED_VALUE"""),159.0)</f>
        <v>159</v>
      </c>
      <c r="J91">
        <f>IFERROR(__xludf.DUMMYFUNCTION("""COMPUTED_VALUE"""),1703.0)</f>
        <v>1703</v>
      </c>
      <c r="K91" t="str">
        <f>IFERROR(__xludf.DUMMYFUNCTION("""COMPUTED_VALUE"""),"Italy")</f>
        <v>Italy</v>
      </c>
      <c r="L91">
        <f>IFERROR(__xludf.DUMMYFUNCTION("""COMPUTED_VALUE"""),2.0)</f>
        <v>2</v>
      </c>
      <c r="M91">
        <f>IFERROR(__xludf.DUMMYFUNCTION("""COMPUTED_VALUE"""),18.0)</f>
        <v>18</v>
      </c>
      <c r="N91">
        <f>IFERROR(__xludf.DUMMYFUNCTION("""COMPUTED_VALUE"""),41271.0)</f>
        <v>41271</v>
      </c>
    </row>
    <row r="92">
      <c r="A92">
        <f>IFERROR(__xludf.DUMMYFUNCTION("""COMPUTED_VALUE"""),796.0)</f>
        <v>796</v>
      </c>
      <c r="B92">
        <f>IFERROR(__xludf.DUMMYFUNCTION("""COMPUTED_VALUE"""),40.6657493890349)</f>
        <v>40.66574939</v>
      </c>
      <c r="C92">
        <f>IFERROR(__xludf.DUMMYFUNCTION("""COMPUTED_VALUE"""),16.6129909122773)</f>
        <v>16.61299091</v>
      </c>
      <c r="D92" t="str">
        <f>IFERROR(__xludf.DUMMYFUNCTION("""COMPUTED_VALUE"""),"Affittacamere")</f>
        <v>Affittacamere</v>
      </c>
      <c r="E92" t="str">
        <f>IFERROR(__xludf.DUMMYFUNCTION("""COMPUTED_VALUE"""),"AI QUARTI SOTTANI")</f>
        <v>AI QUARTI SOTTANI</v>
      </c>
      <c r="F92" t="str">
        <f>IFERROR(__xludf.DUMMYFUNCTION("""COMPUTED_VALUE"""),"ATS.SRL DOMENICO VENEZIA")</f>
        <v>ATS.SRL DOMENICO VENEZIA</v>
      </c>
      <c r="G92" t="str">
        <f>IFERROR(__xludf.DUMMYFUNCTION("""COMPUTED_VALUE"""),"VIA MADONNA DELLE VIRTU' 75/VIA SANT'ANGELO 27")</f>
        <v>VIA MADONNA DELLE VIRTU' 75/VIA SANT'ANGELO 27</v>
      </c>
      <c r="H92" t="str">
        <f>IFERROR(__xludf.DUMMYFUNCTION("""COMPUTED_VALUE"""),"Matera")</f>
        <v>Matera</v>
      </c>
      <c r="I92">
        <f>IFERROR(__xludf.DUMMYFUNCTION("""COMPUTED_VALUE"""),159.0)</f>
        <v>159</v>
      </c>
      <c r="J92">
        <f>IFERROR(__xludf.DUMMYFUNCTION("""COMPUTED_VALUE"""),1353.0)</f>
        <v>1353</v>
      </c>
      <c r="K92" t="str">
        <f>IFERROR(__xludf.DUMMYFUNCTION("""COMPUTED_VALUE"""),"Italy")</f>
        <v>Italy</v>
      </c>
      <c r="L92">
        <f>IFERROR(__xludf.DUMMYFUNCTION("""COMPUTED_VALUE"""),2.0)</f>
        <v>2</v>
      </c>
      <c r="M92">
        <f>IFERROR(__xludf.DUMMYFUNCTION("""COMPUTED_VALUE"""),10.0)</f>
        <v>10</v>
      </c>
      <c r="N92">
        <f>IFERROR(__xludf.DUMMYFUNCTION("""COMPUTED_VALUE"""),41788.0)</f>
        <v>41788</v>
      </c>
    </row>
    <row r="93">
      <c r="A93">
        <f>IFERROR(__xludf.DUMMYFUNCTION("""COMPUTED_VALUE"""),797.0)</f>
        <v>797</v>
      </c>
      <c r="B93">
        <f>IFERROR(__xludf.DUMMYFUNCTION("""COMPUTED_VALUE"""),40.6663797963838)</f>
        <v>40.6663798</v>
      </c>
      <c r="C93">
        <f>IFERROR(__xludf.DUMMYFUNCTION("""COMPUTED_VALUE"""),16.610424581506)</f>
        <v>16.61042458</v>
      </c>
      <c r="D93" t="str">
        <f>IFERROR(__xludf.DUMMYFUNCTION("""COMPUTED_VALUE"""),"Affittacamere")</f>
        <v>Affittacamere</v>
      </c>
      <c r="E93" t="str">
        <f>IFERROR(__xludf.DUMMYFUNCTION("""COMPUTED_VALUE"""),"ALLA DIMORA DI CHIARA")</f>
        <v>ALLA DIMORA DI CHIARA</v>
      </c>
      <c r="F93" t="str">
        <f>IFERROR(__xludf.DUMMYFUNCTION("""COMPUTED_VALUE"""),"ALLA DIMORA DI CHIARA SRL")</f>
        <v>ALLA DIMORA DI CHIARA SRL</v>
      </c>
      <c r="G93" t="str">
        <f>IFERROR(__xludf.DUMMYFUNCTION("""COMPUTED_VALUE"""),"VIA SAN GENNARO 3")</f>
        <v>VIA SAN GENNARO 3</v>
      </c>
      <c r="H93" t="str">
        <f>IFERROR(__xludf.DUMMYFUNCTION("""COMPUTED_VALUE"""),"Matera")</f>
        <v>Matera</v>
      </c>
      <c r="I93">
        <f>IFERROR(__xludf.DUMMYFUNCTION("""COMPUTED_VALUE"""),159.0)</f>
        <v>159</v>
      </c>
      <c r="J93">
        <f>IFERROR(__xludf.DUMMYFUNCTION("""COMPUTED_VALUE"""),791.0)</f>
        <v>791</v>
      </c>
      <c r="K93" t="str">
        <f>IFERROR(__xludf.DUMMYFUNCTION("""COMPUTED_VALUE"""),"Italy")</f>
        <v>Italy</v>
      </c>
      <c r="L93">
        <f>IFERROR(__xludf.DUMMYFUNCTION("""COMPUTED_VALUE"""),5.0)</f>
        <v>5</v>
      </c>
      <c r="M93">
        <f>IFERROR(__xludf.DUMMYFUNCTION("""COMPUTED_VALUE"""),20.0)</f>
        <v>20</v>
      </c>
      <c r="N93">
        <f>IFERROR(__xludf.DUMMYFUNCTION("""COMPUTED_VALUE"""),42307.0)</f>
        <v>42307</v>
      </c>
    </row>
    <row r="94">
      <c r="A94">
        <f>IFERROR(__xludf.DUMMYFUNCTION("""COMPUTED_VALUE"""),798.0)</f>
        <v>798</v>
      </c>
      <c r="B94">
        <f>IFERROR(__xludf.DUMMYFUNCTION("""COMPUTED_VALUE"""),40.668146341583)</f>
        <v>40.66814634</v>
      </c>
      <c r="C94">
        <f>IFERROR(__xludf.DUMMYFUNCTION("""COMPUTED_VALUE"""),16.6045558422992)</f>
        <v>16.60455584</v>
      </c>
      <c r="D94" t="str">
        <f>IFERROR(__xludf.DUMMYFUNCTION("""COMPUTED_VALUE"""),"Affittacamere")</f>
        <v>Affittacamere</v>
      </c>
      <c r="E94" t="str">
        <f>IFERROR(__xludf.DUMMYFUNCTION("""COMPUTED_VALUE"""),"ALMA CAMERE")</f>
        <v>ALMA CAMERE</v>
      </c>
      <c r="F94" t="str">
        <f>IFERROR(__xludf.DUMMYFUNCTION("""COMPUTED_VALUE"""),"ANNA RITA LASALA")</f>
        <v>ANNA RITA LASALA</v>
      </c>
      <c r="G94" t="str">
        <f>IFERROR(__xludf.DUMMYFUNCTION("""COMPUTED_VALUE"""),"VIA DE SARIIS 12")</f>
        <v>VIA DE SARIIS 12</v>
      </c>
      <c r="H94" t="str">
        <f>IFERROR(__xludf.DUMMYFUNCTION("""COMPUTED_VALUE"""),"Matera")</f>
        <v>Matera</v>
      </c>
      <c r="I94">
        <f>IFERROR(__xludf.DUMMYFUNCTION("""COMPUTED_VALUE"""),159.0)</f>
        <v>159</v>
      </c>
      <c r="J94">
        <f>IFERROR(__xludf.DUMMYFUNCTION("""COMPUTED_VALUE"""),3732.0)</f>
        <v>3732</v>
      </c>
      <c r="K94" t="str">
        <f>IFERROR(__xludf.DUMMYFUNCTION("""COMPUTED_VALUE"""),"Italy")</f>
        <v>Italy</v>
      </c>
      <c r="L94">
        <f>IFERROR(__xludf.DUMMYFUNCTION("""COMPUTED_VALUE"""),2.0)</f>
        <v>2</v>
      </c>
      <c r="M94">
        <f>IFERROR(__xludf.DUMMYFUNCTION("""COMPUTED_VALUE"""),15.0)</f>
        <v>15</v>
      </c>
      <c r="N94">
        <f>IFERROR(__xludf.DUMMYFUNCTION("""COMPUTED_VALUE"""),42122.0)</f>
        <v>42122</v>
      </c>
    </row>
    <row r="95">
      <c r="A95">
        <f>IFERROR(__xludf.DUMMYFUNCTION("""COMPUTED_VALUE"""),799.0)</f>
        <v>799</v>
      </c>
      <c r="B95">
        <f>IFERROR(__xludf.DUMMYFUNCTION("""COMPUTED_VALUE"""),40.6650011366954)</f>
        <v>40.66500114</v>
      </c>
      <c r="C95">
        <f>IFERROR(__xludf.DUMMYFUNCTION("""COMPUTED_VALUE"""),16.610246840266)</f>
        <v>16.61024684</v>
      </c>
      <c r="D95" t="str">
        <f>IFERROR(__xludf.DUMMYFUNCTION("""COMPUTED_VALUE"""),"Affittacamere")</f>
        <v>Affittacamere</v>
      </c>
      <c r="E95" t="str">
        <f>IFERROR(__xludf.DUMMYFUNCTION("""COMPUTED_VALUE"""),"ANTICO CONVICINO")</f>
        <v>ANTICO CONVICINO</v>
      </c>
      <c r="F95" t="str">
        <f>IFERROR(__xludf.DUMMYFUNCTION("""COMPUTED_VALUE"""),"ANNA MARIA BRUCOLI")</f>
        <v>ANNA MARIA BRUCOLI</v>
      </c>
      <c r="G95" t="str">
        <f>IFERROR(__xludf.DUMMYFUNCTION("""COMPUTED_VALUE"""),"VIA SAN PIETRO CAVEOSO 19 20 21 22 24 29 30")</f>
        <v>VIA SAN PIETRO CAVEOSO 19 20 21 22 24 29 30</v>
      </c>
      <c r="H95" t="str">
        <f>IFERROR(__xludf.DUMMYFUNCTION("""COMPUTED_VALUE"""),"Matera")</f>
        <v>Matera</v>
      </c>
      <c r="I95">
        <f>IFERROR(__xludf.DUMMYFUNCTION("""COMPUTED_VALUE"""),159.0)</f>
        <v>159</v>
      </c>
      <c r="J95">
        <f>IFERROR(__xludf.DUMMYFUNCTION("""COMPUTED_VALUE"""),1793.0)</f>
        <v>1793</v>
      </c>
      <c r="K95" t="str">
        <f>IFERROR(__xludf.DUMMYFUNCTION("""COMPUTED_VALUE"""),"Italy")</f>
        <v>Italy</v>
      </c>
      <c r="L95">
        <f>IFERROR(__xludf.DUMMYFUNCTION("""COMPUTED_VALUE"""),2.0)</f>
        <v>2</v>
      </c>
      <c r="M95">
        <f>IFERROR(__xludf.DUMMYFUNCTION("""COMPUTED_VALUE"""),13.0)</f>
        <v>13</v>
      </c>
      <c r="N95">
        <f>IFERROR(__xludf.DUMMYFUNCTION("""COMPUTED_VALUE"""),41914.0)</f>
        <v>41914</v>
      </c>
    </row>
    <row r="96">
      <c r="A96">
        <f>IFERROR(__xludf.DUMMYFUNCTION("""COMPUTED_VALUE"""),800.0)</f>
        <v>800</v>
      </c>
      <c r="B96">
        <f>IFERROR(__xludf.DUMMYFUNCTION("""COMPUTED_VALUE"""),40.6677911471051)</f>
        <v>40.66779115</v>
      </c>
      <c r="C96">
        <f>IFERROR(__xludf.DUMMYFUNCTION("""COMPUTED_VALUE"""),16.6072242788448)</f>
        <v>16.60722428</v>
      </c>
      <c r="D96" t="str">
        <f>IFERROR(__xludf.DUMMYFUNCTION("""COMPUTED_VALUE"""),"Affittacamere")</f>
        <v>Affittacamere</v>
      </c>
      <c r="E96" t="str">
        <f>IFERROR(__xludf.DUMMYFUNCTION("""COMPUTED_VALUE"""),"CASA 2019")</f>
        <v>CASA 2019</v>
      </c>
      <c r="F96" t="str">
        <f>IFERROR(__xludf.DUMMYFUNCTION("""COMPUTED_VALUE"""),"GIOVANNA CASTELLANO")</f>
        <v>GIOVANNA CASTELLANO</v>
      </c>
      <c r="G96" t="str">
        <f>IFERROR(__xludf.DUMMYFUNCTION("""COMPUTED_VALUE"""),"VICO XX SETTEMBRE 6")</f>
        <v>VICO XX SETTEMBRE 6</v>
      </c>
      <c r="H96" t="str">
        <f>IFERROR(__xludf.DUMMYFUNCTION("""COMPUTED_VALUE"""),"Matera")</f>
        <v>Matera</v>
      </c>
      <c r="I96">
        <f>IFERROR(__xludf.DUMMYFUNCTION("""COMPUTED_VALUE"""),159.0)</f>
        <v>159</v>
      </c>
      <c r="J96">
        <f>IFERROR(__xludf.DUMMYFUNCTION("""COMPUTED_VALUE"""),3550.0)</f>
        <v>3550</v>
      </c>
      <c r="K96" t="str">
        <f>IFERROR(__xludf.DUMMYFUNCTION("""COMPUTED_VALUE"""),"Italy")</f>
        <v>Italy</v>
      </c>
      <c r="L96">
        <f>IFERROR(__xludf.DUMMYFUNCTION("""COMPUTED_VALUE"""),24.0)</f>
        <v>24</v>
      </c>
      <c r="M96">
        <f>IFERROR(__xludf.DUMMYFUNCTION("""COMPUTED_VALUE"""),6.0)</f>
        <v>6</v>
      </c>
      <c r="N96">
        <f>IFERROR(__xludf.DUMMYFUNCTION("""COMPUTED_VALUE"""),42429.0)</f>
        <v>42429</v>
      </c>
    </row>
    <row r="97">
      <c r="A97">
        <f>IFERROR(__xludf.DUMMYFUNCTION("""COMPUTED_VALUE"""),801.0)</f>
        <v>801</v>
      </c>
      <c r="B97">
        <f>IFERROR(__xludf.DUMMYFUNCTION("""COMPUTED_VALUE"""),40.6685560600957)</f>
        <v>40.66855606</v>
      </c>
      <c r="C97">
        <f>IFERROR(__xludf.DUMMYFUNCTION("""COMPUTED_VALUE"""),16.6043160039492)</f>
        <v>16.604316</v>
      </c>
      <c r="D97" t="str">
        <f>IFERROR(__xludf.DUMMYFUNCTION("""COMPUTED_VALUE"""),"Affittacamere")</f>
        <v>Affittacamere</v>
      </c>
      <c r="E97" t="str">
        <f>IFERROR(__xludf.DUMMYFUNCTION("""COMPUTED_VALUE"""),"FRAMMENTI RESIDENCE")</f>
        <v>FRAMMENTI RESIDENCE</v>
      </c>
      <c r="F97" t="str">
        <f>IFERROR(__xludf.DUMMYFUNCTION("""COMPUTED_VALUE"""),"LUCA D'ERCOLE")</f>
        <v>LUCA D'ERCOLE</v>
      </c>
      <c r="G97" t="str">
        <f>IFERROR(__xludf.DUMMYFUNCTION("""COMPUTED_VALUE"""),"VIA L. PROTOSPATA 31")</f>
        <v>VIA L. PROTOSPATA 31</v>
      </c>
      <c r="H97" t="str">
        <f>IFERROR(__xludf.DUMMYFUNCTION("""COMPUTED_VALUE"""),"Matera")</f>
        <v>Matera</v>
      </c>
      <c r="I97">
        <f>IFERROR(__xludf.DUMMYFUNCTION("""COMPUTED_VALUE"""),159.0)</f>
        <v>159</v>
      </c>
      <c r="J97">
        <f>IFERROR(__xludf.DUMMYFUNCTION("""COMPUTED_VALUE"""),4917.0)</f>
        <v>4917</v>
      </c>
      <c r="K97" t="str">
        <f>IFERROR(__xludf.DUMMYFUNCTION("""COMPUTED_VALUE"""),"Italy")</f>
        <v>Italy</v>
      </c>
      <c r="L97">
        <f>IFERROR(__xludf.DUMMYFUNCTION("""COMPUTED_VALUE"""),4.0)</f>
        <v>4</v>
      </c>
      <c r="M97">
        <f>IFERROR(__xludf.DUMMYFUNCTION("""COMPUTED_VALUE"""),12.0)</f>
        <v>12</v>
      </c>
      <c r="N97">
        <f>IFERROR(__xludf.DUMMYFUNCTION("""COMPUTED_VALUE"""),42446.0)</f>
        <v>42446</v>
      </c>
    </row>
    <row r="98">
      <c r="A98">
        <f>IFERROR(__xludf.DUMMYFUNCTION("""COMPUTED_VALUE"""),802.0)</f>
        <v>802</v>
      </c>
      <c r="B98">
        <f>IFERROR(__xludf.DUMMYFUNCTION("""COMPUTED_VALUE"""),40.6679797808997)</f>
        <v>40.66797978</v>
      </c>
      <c r="C98">
        <f>IFERROR(__xludf.DUMMYFUNCTION("""COMPUTED_VALUE"""),16.6865439959701)</f>
        <v>16.686544</v>
      </c>
      <c r="D98" t="str">
        <f>IFERROR(__xludf.DUMMYFUNCTION("""COMPUTED_VALUE"""),"Affittacamere")</f>
        <v>Affittacamere</v>
      </c>
      <c r="E98" t="str">
        <f>IFERROR(__xludf.DUMMYFUNCTION("""COMPUTED_VALUE"""),"GRAN CASALE DELLE GRAVINE")</f>
        <v>GRAN CASALE DELLE GRAVINE</v>
      </c>
      <c r="F98" t="str">
        <f>IFERROR(__xludf.DUMMYFUNCTION("""COMPUTED_VALUE"""),"GRAN CASALE DELLE GRAVINE SRL")</f>
        <v>GRAN CASALE DELLE GRAVINE SRL</v>
      </c>
      <c r="G98" t="str">
        <f>IFERROR(__xludf.DUMMYFUNCTION("""COMPUTED_VALUE"""),"LOCALITA' ALVINO KM.10SS.7")</f>
        <v>LOCALITA' ALVINO KM.10SS.7</v>
      </c>
      <c r="H98" t="str">
        <f>IFERROR(__xludf.DUMMYFUNCTION("""COMPUTED_VALUE"""),"Matera")</f>
        <v>Matera</v>
      </c>
      <c r="I98">
        <f>IFERROR(__xludf.DUMMYFUNCTION("""COMPUTED_VALUE"""),79.0)</f>
        <v>79</v>
      </c>
      <c r="J98">
        <f>IFERROR(__xludf.DUMMYFUNCTION("""COMPUTED_VALUE"""),153.0)</f>
        <v>153</v>
      </c>
      <c r="K98" t="str">
        <f>IFERROR(__xludf.DUMMYFUNCTION("""COMPUTED_VALUE"""),"Italy")</f>
        <v>Italy</v>
      </c>
      <c r="L98">
        <f>IFERROR(__xludf.DUMMYFUNCTION("""COMPUTED_VALUE"""),3.0)</f>
        <v>3</v>
      </c>
      <c r="M98">
        <f>IFERROR(__xludf.DUMMYFUNCTION("""COMPUTED_VALUE"""),8.0)</f>
        <v>8</v>
      </c>
      <c r="N98">
        <f>IFERROR(__xludf.DUMMYFUNCTION("""COMPUTED_VALUE"""),42031.0)</f>
        <v>42031</v>
      </c>
    </row>
    <row r="99">
      <c r="A99">
        <f>IFERROR(__xludf.DUMMYFUNCTION("""COMPUTED_VALUE"""),803.0)</f>
        <v>803</v>
      </c>
      <c r="B99">
        <f>IFERROR(__xludf.DUMMYFUNCTION("""COMPUTED_VALUE"""),40.6697133917612)</f>
        <v>40.66971339</v>
      </c>
      <c r="C99">
        <f>IFERROR(__xludf.DUMMYFUNCTION("""COMPUTED_VALUE"""),16.6082579398152)</f>
        <v>16.60825794</v>
      </c>
      <c r="D99" t="str">
        <f>IFERROR(__xludf.DUMMYFUNCTION("""COMPUTED_VALUE"""),"Affittacamere")</f>
        <v>Affittacamere</v>
      </c>
      <c r="E99" t="str">
        <f>IFERROR(__xludf.DUMMYFUNCTION("""COMPUTED_VALUE"""),"HIDRYA RESIDENCE")</f>
        <v>HIDRYA RESIDENCE</v>
      </c>
      <c r="F99" t="str">
        <f>IFERROR(__xludf.DUMMYFUNCTION("""COMPUTED_VALUE"""),"ARTEC DI DI CUIA FRANCESCO P.")</f>
        <v>ARTEC DI DI CUIA FRANCESCO P.</v>
      </c>
      <c r="G99" t="str">
        <f>IFERROR(__xludf.DUMMYFUNCTION("""COMPUTED_VALUE"""),"VIA PIAVE 10-12 E VICOLO PIAVE 2")</f>
        <v>VIA PIAVE 10-12 E VICOLO PIAVE 2</v>
      </c>
      <c r="H99" t="str">
        <f>IFERROR(__xludf.DUMMYFUNCTION("""COMPUTED_VALUE"""),"Matera")</f>
        <v>Matera</v>
      </c>
      <c r="I99">
        <f>IFERROR(__xludf.DUMMYFUNCTION("""COMPUTED_VALUE"""),159.0)</f>
        <v>159</v>
      </c>
      <c r="J99">
        <f>IFERROR(__xludf.DUMMYFUNCTION("""COMPUTED_VALUE"""),3565.0)</f>
        <v>3565</v>
      </c>
      <c r="K99" t="str">
        <f>IFERROR(__xludf.DUMMYFUNCTION("""COMPUTED_VALUE"""),"Italy")</f>
        <v>Italy</v>
      </c>
      <c r="L99">
        <f>IFERROR(__xludf.DUMMYFUNCTION("""COMPUTED_VALUE"""),1.0)</f>
        <v>1</v>
      </c>
      <c r="M99">
        <f>IFERROR(__xludf.DUMMYFUNCTION("""COMPUTED_VALUE"""),11.0)</f>
        <v>11</v>
      </c>
      <c r="N99">
        <f>IFERROR(__xludf.DUMMYFUNCTION("""COMPUTED_VALUE"""),42443.0)</f>
        <v>42443</v>
      </c>
    </row>
    <row r="100">
      <c r="A100">
        <f>IFERROR(__xludf.DUMMYFUNCTION("""COMPUTED_VALUE"""),804.0)</f>
        <v>804</v>
      </c>
      <c r="B100">
        <f>IFERROR(__xludf.DUMMYFUNCTION("""COMPUTED_VALUE"""),40.6673363858573)</f>
        <v>40.66733639</v>
      </c>
      <c r="C100">
        <f>IFERROR(__xludf.DUMMYFUNCTION("""COMPUTED_VALUE"""),16.6110892164191)</f>
        <v>16.61108922</v>
      </c>
      <c r="D100" t="str">
        <f>IFERROR(__xludf.DUMMYFUNCTION("""COMPUTED_VALUE"""),"Affittacamere")</f>
        <v>Affittacamere</v>
      </c>
      <c r="E100" t="str">
        <f>IFERROR(__xludf.DUMMYFUNCTION("""COMPUTED_VALUE"""),"I GIARDINI DI PIETRA")</f>
        <v>I GIARDINI DI PIETRA</v>
      </c>
      <c r="F100" t="str">
        <f>IFERROR(__xludf.DUMMYFUNCTION("""COMPUTED_VALUE"""),"I GIARDINI DI PIETRA SRL")</f>
        <v>I GIARDINI DI PIETRA SRL</v>
      </c>
      <c r="G100" t="str">
        <f>IFERROR(__xludf.DUMMYFUNCTION("""COMPUTED_VALUE"""),"VIA GRADONI DUOMO 16")</f>
        <v>VIA GRADONI DUOMO 16</v>
      </c>
      <c r="H100" t="str">
        <f>IFERROR(__xludf.DUMMYFUNCTION("""COMPUTED_VALUE"""),"Matera")</f>
        <v>Matera</v>
      </c>
      <c r="I100">
        <f>IFERROR(__xludf.DUMMYFUNCTION("""COMPUTED_VALUE"""),159.0)</f>
        <v>159</v>
      </c>
      <c r="J100">
        <f>IFERROR(__xludf.DUMMYFUNCTION("""COMPUTED_VALUE"""),1137.0)</f>
        <v>1137</v>
      </c>
      <c r="K100" t="str">
        <f>IFERROR(__xludf.DUMMYFUNCTION("""COMPUTED_VALUE"""),"Italy")</f>
        <v>Italy</v>
      </c>
      <c r="L100">
        <f>IFERROR(__xludf.DUMMYFUNCTION("""COMPUTED_VALUE"""),1.0)</f>
        <v>1</v>
      </c>
      <c r="M100">
        <f>IFERROR(__xludf.DUMMYFUNCTION("""COMPUTED_VALUE"""),18.0)</f>
        <v>18</v>
      </c>
      <c r="N100">
        <f>IFERROR(__xludf.DUMMYFUNCTION("""COMPUTED_VALUE"""),42297.0)</f>
        <v>42297</v>
      </c>
    </row>
    <row r="101">
      <c r="A101">
        <f>IFERROR(__xludf.DUMMYFUNCTION("""COMPUTED_VALUE"""),805.0)</f>
        <v>805</v>
      </c>
      <c r="B101">
        <f>IFERROR(__xludf.DUMMYFUNCTION("""COMPUTED_VALUE"""),40.6677907143431)</f>
        <v>40.66779071</v>
      </c>
      <c r="C101">
        <f>IFERROR(__xludf.DUMMYFUNCTION("""COMPUTED_VALUE"""),16.6098587122933)</f>
        <v>16.60985871</v>
      </c>
      <c r="D101" t="str">
        <f>IFERROR(__xludf.DUMMYFUNCTION("""COMPUTED_VALUE"""),"Affittacamere")</f>
        <v>Affittacamere</v>
      </c>
      <c r="E101" t="str">
        <f>IFERROR(__xludf.DUMMYFUNCTION("""COMPUTED_VALUE"""),"I TERRAZZINI")</f>
        <v>I TERRAZZINI</v>
      </c>
      <c r="F101" t="str">
        <f>IFERROR(__xludf.DUMMYFUNCTION("""COMPUTED_VALUE"""),"VERRASCINA")</f>
        <v>VERRASCINA</v>
      </c>
      <c r="G101" t="str">
        <f>IFERROR(__xludf.DUMMYFUNCTION("""COMPUTED_VALUE"""),"VIA D'ADDOZIO 148")</f>
        <v>VIA D'ADDOZIO 148</v>
      </c>
      <c r="H101" t="str">
        <f>IFERROR(__xludf.DUMMYFUNCTION("""COMPUTED_VALUE"""),"Matera")</f>
        <v>Matera</v>
      </c>
      <c r="I101">
        <f>IFERROR(__xludf.DUMMYFUNCTION("""COMPUTED_VALUE"""),159.0)</f>
        <v>159</v>
      </c>
      <c r="J101">
        <f>IFERROR(__xludf.DUMMYFUNCTION("""COMPUTED_VALUE"""),294.0)</f>
        <v>294</v>
      </c>
      <c r="K101" t="str">
        <f>IFERROR(__xludf.DUMMYFUNCTION("""COMPUTED_VALUE"""),"Italy")</f>
        <v>Italy</v>
      </c>
      <c r="L101">
        <f>IFERROR(__xludf.DUMMYFUNCTION("""COMPUTED_VALUE"""),3.0)</f>
        <v>3</v>
      </c>
      <c r="M101">
        <f>IFERROR(__xludf.DUMMYFUNCTION("""COMPUTED_VALUE"""),18.0)</f>
        <v>18</v>
      </c>
      <c r="N101">
        <f>IFERROR(__xludf.DUMMYFUNCTION("""COMPUTED_VALUE"""),43276.0)</f>
        <v>43276</v>
      </c>
    </row>
    <row r="102">
      <c r="A102">
        <f>IFERROR(__xludf.DUMMYFUNCTION("""COMPUTED_VALUE"""),806.0)</f>
        <v>806</v>
      </c>
      <c r="B102">
        <f>IFERROR(__xludf.DUMMYFUNCTION("""COMPUTED_VALUE"""),40.6642276864936)</f>
        <v>40.66422769</v>
      </c>
      <c r="C102">
        <f>IFERROR(__xludf.DUMMYFUNCTION("""COMPUTED_VALUE"""),16.6000913657942)</f>
        <v>16.60009137</v>
      </c>
      <c r="D102" t="str">
        <f>IFERROR(__xludf.DUMMYFUNCTION("""COMPUTED_VALUE"""),"Affittacamere")</f>
        <v>Affittacamere</v>
      </c>
      <c r="E102" t="str">
        <f>IFERROR(__xludf.DUMMYFUNCTION("""COMPUTED_VALUE"""),"IL PRIORE HOLLIDAY HOME")</f>
        <v>IL PRIORE HOLLIDAY HOME</v>
      </c>
      <c r="F102" t="str">
        <f>IFERROR(__xludf.DUMMYFUNCTION("""COMPUTED_VALUE"""),"PISCIOTTA MARIA ROSARIA")</f>
        <v>PISCIOTTA MARIA ROSARIA</v>
      </c>
      <c r="G102" t="str">
        <f>IFERROR(__xludf.DUMMYFUNCTION("""COMPUTED_VALUE"""),"VIA CAPPELLUTI 63")</f>
        <v>VIA CAPPELLUTI 63</v>
      </c>
      <c r="H102" t="str">
        <f>IFERROR(__xludf.DUMMYFUNCTION("""COMPUTED_VALUE"""),"Matera")</f>
        <v>Matera</v>
      </c>
      <c r="I102">
        <f>IFERROR(__xludf.DUMMYFUNCTION("""COMPUTED_VALUE"""),71.0)</f>
        <v>71</v>
      </c>
      <c r="J102">
        <f>IFERROR(__xludf.DUMMYFUNCTION("""COMPUTED_VALUE"""),448.0)</f>
        <v>448</v>
      </c>
      <c r="K102" t="str">
        <f>IFERROR(__xludf.DUMMYFUNCTION("""COMPUTED_VALUE"""),"Italy")</f>
        <v>Italy</v>
      </c>
      <c r="L102">
        <f>IFERROR(__xludf.DUMMYFUNCTION("""COMPUTED_VALUE"""),16.0)</f>
        <v>16</v>
      </c>
      <c r="M102">
        <f>IFERROR(__xludf.DUMMYFUNCTION("""COMPUTED_VALUE"""),4.0)</f>
        <v>4</v>
      </c>
      <c r="N102">
        <f>IFERROR(__xludf.DUMMYFUNCTION("""COMPUTED_VALUE"""),42516.0)</f>
        <v>42516</v>
      </c>
    </row>
    <row r="103">
      <c r="A103">
        <f>IFERROR(__xludf.DUMMYFUNCTION("""COMPUTED_VALUE"""),807.0)</f>
        <v>807</v>
      </c>
      <c r="B103">
        <f>IFERROR(__xludf.DUMMYFUNCTION("""COMPUTED_VALUE"""),40.6669790364908)</f>
        <v>40.66697904</v>
      </c>
      <c r="C103">
        <f>IFERROR(__xludf.DUMMYFUNCTION("""COMPUTED_VALUE"""),16.607792720933)</f>
        <v>16.60779272</v>
      </c>
      <c r="D103" t="str">
        <f>IFERROR(__xludf.DUMMYFUNCTION("""COMPUTED_VALUE"""),"Affittacamere")</f>
        <v>Affittacamere</v>
      </c>
      <c r="E103" t="str">
        <f>IFERROR(__xludf.DUMMYFUNCTION("""COMPUTED_VALUE"""),"LA CASA DI ELE 2")</f>
        <v>LA CASA DI ELE 2</v>
      </c>
      <c r="F103" t="str">
        <f>IFERROR(__xludf.DUMMYFUNCTION("""COMPUTED_VALUE"""),"MARCOSANO RAFFAELE")</f>
        <v>MARCOSANO RAFFAELE</v>
      </c>
      <c r="G103" t="str">
        <f>IFERROR(__xludf.DUMMYFUNCTION("""COMPUTED_VALUE"""),"VIA ROSARIO2 VIA SAN BIAGIO26")</f>
        <v>VIA ROSARIO2 VIA SAN BIAGIO26</v>
      </c>
      <c r="H103" t="str">
        <f>IFERROR(__xludf.DUMMYFUNCTION("""COMPUTED_VALUE"""),"Matera")</f>
        <v>Matera</v>
      </c>
      <c r="I103">
        <f>IFERROR(__xludf.DUMMYFUNCTION("""COMPUTED_VALUE"""),159.0)</f>
        <v>159</v>
      </c>
      <c r="J103">
        <f>IFERROR(__xludf.DUMMYFUNCTION("""COMPUTED_VALUE"""),571.0)</f>
        <v>571</v>
      </c>
      <c r="K103" t="str">
        <f>IFERROR(__xludf.DUMMYFUNCTION("""COMPUTED_VALUE"""),"Italy")</f>
        <v>Italy</v>
      </c>
      <c r="L103">
        <f>IFERROR(__xludf.DUMMYFUNCTION("""COMPUTED_VALUE"""),7.0)</f>
        <v>7</v>
      </c>
      <c r="M103">
        <f>IFERROR(__xludf.DUMMYFUNCTION("""COMPUTED_VALUE"""),17.0)</f>
        <v>17</v>
      </c>
      <c r="N103">
        <f>IFERROR(__xludf.DUMMYFUNCTION("""COMPUTED_VALUE"""),41524.0)</f>
        <v>41524</v>
      </c>
    </row>
    <row r="104">
      <c r="A104">
        <f>IFERROR(__xludf.DUMMYFUNCTION("""COMPUTED_VALUE"""),808.0)</f>
        <v>808</v>
      </c>
      <c r="B104">
        <f>IFERROR(__xludf.DUMMYFUNCTION("""COMPUTED_VALUE"""),40.6682548253319)</f>
        <v>40.66825483</v>
      </c>
      <c r="C104">
        <f>IFERROR(__xludf.DUMMYFUNCTION("""COMPUTED_VALUE"""),16.6087852935043)</f>
        <v>16.60878529</v>
      </c>
      <c r="D104" t="str">
        <f>IFERROR(__xludf.DUMMYFUNCTION("""COMPUTED_VALUE"""),"Affittacamere")</f>
        <v>Affittacamere</v>
      </c>
      <c r="E104" t="str">
        <f>IFERROR(__xludf.DUMMYFUNCTION("""COMPUTED_VALUE"""),"LA CASA DI GIO'")</f>
        <v>LA CASA DI GIO'</v>
      </c>
      <c r="F104" t="str">
        <f>IFERROR(__xludf.DUMMYFUNCTION("""COMPUTED_VALUE"""),"PIGRECO ROOMS DI GRIECO PATRIZIA")</f>
        <v>PIGRECO ROOMS DI GRIECO PATRIZIA</v>
      </c>
      <c r="G104" t="str">
        <f>IFERROR(__xludf.DUMMYFUNCTION("""COMPUTED_VALUE"""),"RIONE SAN BIAGIO 9 E 43")</f>
        <v>RIONE SAN BIAGIO 9 E 43</v>
      </c>
      <c r="H104" t="str">
        <f>IFERROR(__xludf.DUMMYFUNCTION("""COMPUTED_VALUE"""),"Matera")</f>
        <v>Matera</v>
      </c>
      <c r="I104">
        <f>IFERROR(__xludf.DUMMYFUNCTION("""COMPUTED_VALUE"""),159.0)</f>
        <v>159</v>
      </c>
      <c r="J104">
        <f>IFERROR(__xludf.DUMMYFUNCTION("""COMPUTED_VALUE"""),178.0)</f>
        <v>178</v>
      </c>
      <c r="K104" t="str">
        <f>IFERROR(__xludf.DUMMYFUNCTION("""COMPUTED_VALUE"""),"Italy")</f>
        <v>Italy</v>
      </c>
      <c r="L104">
        <f>IFERROR(__xludf.DUMMYFUNCTION("""COMPUTED_VALUE"""),3.0)</f>
        <v>3</v>
      </c>
      <c r="M104">
        <f>IFERROR(__xludf.DUMMYFUNCTION("""COMPUTED_VALUE"""),5.0)</f>
        <v>5</v>
      </c>
      <c r="N104">
        <f>IFERROR(__xludf.DUMMYFUNCTION("""COMPUTED_VALUE"""),42699.0)</f>
        <v>42699</v>
      </c>
    </row>
    <row r="105">
      <c r="A105">
        <f>IFERROR(__xludf.DUMMYFUNCTION("""COMPUTED_VALUE"""),810.0)</f>
        <v>810</v>
      </c>
      <c r="B105">
        <f>IFERROR(__xludf.DUMMYFUNCTION("""COMPUTED_VALUE"""),40.6703410950492)</f>
        <v>40.6703411</v>
      </c>
      <c r="C105">
        <f>IFERROR(__xludf.DUMMYFUNCTION("""COMPUTED_VALUE"""),16.6078599151644)</f>
        <v>16.60785992</v>
      </c>
      <c r="D105" t="str">
        <f>IFERROR(__xludf.DUMMYFUNCTION("""COMPUTED_VALUE"""),"Affittacamere")</f>
        <v>Affittacamere</v>
      </c>
      <c r="E105" t="str">
        <f>IFERROR(__xludf.DUMMYFUNCTION("""COMPUTED_VALUE"""),"LE VOLTE")</f>
        <v>LE VOLTE</v>
      </c>
      <c r="F105" t="str">
        <f>IFERROR(__xludf.DUMMYFUNCTION("""COMPUTED_VALUE"""),"SUDTEKNE SRL")</f>
        <v>SUDTEKNE SRL</v>
      </c>
      <c r="G105" t="str">
        <f>IFERROR(__xludf.DUMMYFUNCTION("""COMPUTED_VALUE"""),"VIA G. BATTISTA  19 PIANO TERRA")</f>
        <v>VIA G. BATTISTA  19 PIANO TERRA</v>
      </c>
      <c r="H105" t="str">
        <f>IFERROR(__xludf.DUMMYFUNCTION("""COMPUTED_VALUE"""),"Matera")</f>
        <v>Matera</v>
      </c>
      <c r="I105">
        <f>IFERROR(__xludf.DUMMYFUNCTION("""COMPUTED_VALUE"""),159.0)</f>
        <v>159</v>
      </c>
      <c r="J105">
        <f>IFERROR(__xludf.DUMMYFUNCTION("""COMPUTED_VALUE"""),3601.0)</f>
        <v>3601</v>
      </c>
      <c r="K105" t="str">
        <f>IFERROR(__xludf.DUMMYFUNCTION("""COMPUTED_VALUE"""),"Italy")</f>
        <v>Italy</v>
      </c>
      <c r="L105">
        <f>IFERROR(__xludf.DUMMYFUNCTION("""COMPUTED_VALUE"""),7.0)</f>
        <v>7</v>
      </c>
      <c r="M105">
        <f>IFERROR(__xludf.DUMMYFUNCTION("""COMPUTED_VALUE"""),16.0)</f>
        <v>16</v>
      </c>
      <c r="N105">
        <f>IFERROR(__xludf.DUMMYFUNCTION("""COMPUTED_VALUE"""),42586.0)</f>
        <v>42586</v>
      </c>
    </row>
    <row r="106">
      <c r="A106">
        <f>IFERROR(__xludf.DUMMYFUNCTION("""COMPUTED_VALUE"""),811.0)</f>
        <v>811</v>
      </c>
      <c r="B106">
        <f>IFERROR(__xludf.DUMMYFUNCTION("""COMPUTED_VALUE"""),40.6660661296988)</f>
        <v>40.66606613</v>
      </c>
      <c r="C106">
        <f>IFERROR(__xludf.DUMMYFUNCTION("""COMPUTED_VALUE"""),16.6090325821675)</f>
        <v>16.60903258</v>
      </c>
      <c r="D106" t="str">
        <f>IFERROR(__xludf.DUMMYFUNCTION("""COMPUTED_VALUE"""),"Affittacamere")</f>
        <v>Affittacamere</v>
      </c>
      <c r="E106" t="str">
        <f>IFERROR(__xludf.DUMMYFUNCTION("""COMPUTED_VALUE"""),"LO SPLENDORE DEI SASSI")</f>
        <v>LO SPLENDORE DEI SASSI</v>
      </c>
      <c r="F106" t="str">
        <f>IFERROR(__xludf.DUMMYFUNCTION("""COMPUTED_VALUE"""),"ANDRISANI LUCIA")</f>
        <v>ANDRISANI LUCIA</v>
      </c>
      <c r="G106" t="str">
        <f>IFERROR(__xludf.DUMMYFUNCTION("""COMPUTED_VALUE"""),"VIA SPARTIVENTO 18 BIS")</f>
        <v>VIA SPARTIVENTO 18 BIS</v>
      </c>
      <c r="H106" t="str">
        <f>IFERROR(__xludf.DUMMYFUNCTION("""COMPUTED_VALUE"""),"Matera")</f>
        <v>Matera</v>
      </c>
      <c r="I106">
        <f>IFERROR(__xludf.DUMMYFUNCTION("""COMPUTED_VALUE"""),159.0)</f>
        <v>159</v>
      </c>
      <c r="J106">
        <f>IFERROR(__xludf.DUMMYFUNCTION("""COMPUTED_VALUE"""),714.0)</f>
        <v>714</v>
      </c>
      <c r="K106" t="str">
        <f>IFERROR(__xludf.DUMMYFUNCTION("""COMPUTED_VALUE"""),"Italy")</f>
        <v>Italy</v>
      </c>
      <c r="L106">
        <f>IFERROR(__xludf.DUMMYFUNCTION("""COMPUTED_VALUE"""),6.0)</f>
        <v>6</v>
      </c>
      <c r="M106">
        <f>IFERROR(__xludf.DUMMYFUNCTION("""COMPUTED_VALUE"""),4.0)</f>
        <v>4</v>
      </c>
      <c r="N106">
        <f>IFERROR(__xludf.DUMMYFUNCTION("""COMPUTED_VALUE"""),42521.0)</f>
        <v>42521</v>
      </c>
    </row>
    <row r="107">
      <c r="A107">
        <f>IFERROR(__xludf.DUMMYFUNCTION("""COMPUTED_VALUE"""),812.0)</f>
        <v>812</v>
      </c>
      <c r="B107">
        <f>IFERROR(__xludf.DUMMYFUNCTION("""COMPUTED_VALUE"""),40.6666215514969)</f>
        <v>40.66662155</v>
      </c>
      <c r="C107">
        <f>IFERROR(__xludf.DUMMYFUNCTION("""COMPUTED_VALUE"""),16.6037387966699)</f>
        <v>16.6037388</v>
      </c>
      <c r="D107" t="str">
        <f>IFERROR(__xludf.DUMMYFUNCTION("""COMPUTED_VALUE"""),"Affittacamere")</f>
        <v>Affittacamere</v>
      </c>
      <c r="E107" t="str">
        <f>IFERROR(__xludf.DUMMYFUNCTION("""COMPUTED_VALUE"""),"MATERA IN VACANZA SRLS")</f>
        <v>MATERA IN VACANZA SRLS</v>
      </c>
      <c r="F107" t="str">
        <f>IFERROR(__xludf.DUMMYFUNCTION("""COMPUTED_VALUE"""),"MATERA IN VACANZA SRLS")</f>
        <v>MATERA IN VACANZA SRLS</v>
      </c>
      <c r="G107" t="str">
        <f>IFERROR(__xludf.DUMMYFUNCTION("""COMPUTED_VALUE"""),"1° PIANO VIA D. MINZONI 10")</f>
        <v>1° PIANO VIA D. MINZONI 10</v>
      </c>
      <c r="H107" t="str">
        <f>IFERROR(__xludf.DUMMYFUNCTION("""COMPUTED_VALUE"""),"Matera")</f>
        <v>Matera</v>
      </c>
      <c r="I107">
        <f>IFERROR(__xludf.DUMMYFUNCTION("""COMPUTED_VALUE"""),71.0)</f>
        <v>71</v>
      </c>
      <c r="J107">
        <f>IFERROR(__xludf.DUMMYFUNCTION("""COMPUTED_VALUE"""),479.0)</f>
        <v>479</v>
      </c>
      <c r="K107" t="str">
        <f>IFERROR(__xludf.DUMMYFUNCTION("""COMPUTED_VALUE"""),"Italy")</f>
        <v>Italy</v>
      </c>
      <c r="L107">
        <f>IFERROR(__xludf.DUMMYFUNCTION("""COMPUTED_VALUE"""),30.0)</f>
        <v>30</v>
      </c>
      <c r="M107">
        <f>IFERROR(__xludf.DUMMYFUNCTION("""COMPUTED_VALUE"""),11.0)</f>
        <v>11</v>
      </c>
      <c r="N107">
        <f>IFERROR(__xludf.DUMMYFUNCTION("""COMPUTED_VALUE"""),42300.0)</f>
        <v>42300</v>
      </c>
    </row>
    <row r="108">
      <c r="A108">
        <f>IFERROR(__xludf.DUMMYFUNCTION("""COMPUTED_VALUE"""),813.0)</f>
        <v>813</v>
      </c>
      <c r="B108">
        <f>IFERROR(__xludf.DUMMYFUNCTION("""COMPUTED_VALUE"""),40.6731032049575)</f>
        <v>40.6731032</v>
      </c>
      <c r="C108">
        <f>IFERROR(__xludf.DUMMYFUNCTION("""COMPUTED_VALUE"""),16.585117099004)</f>
        <v>16.5851171</v>
      </c>
      <c r="D108" t="str">
        <f>IFERROR(__xludf.DUMMYFUNCTION("""COMPUTED_VALUE"""),"Affittacamere")</f>
        <v>Affittacamere</v>
      </c>
      <c r="E108" t="str">
        <f>IFERROR(__xludf.DUMMYFUNCTION("""COMPUTED_VALUE"""),"MATERA SASSI ROOMS 21/B")</f>
        <v>MATERA SASSI ROOMS 21/B</v>
      </c>
      <c r="F108" t="str">
        <f>IFERROR(__xludf.DUMMYFUNCTION("""COMPUTED_VALUE"""),"IMECO-GAUDIANO SRL")</f>
        <v>IMECO-GAUDIANO SRL</v>
      </c>
      <c r="G108" t="str">
        <f>IFERROR(__xludf.DUMMYFUNCTION("""COMPUTED_VALUE"""),"VIA BENEDETTO CROCE  21/B")</f>
        <v>VIA BENEDETTO CROCE  21/B</v>
      </c>
      <c r="H108" t="str">
        <f>IFERROR(__xludf.DUMMYFUNCTION("""COMPUTED_VALUE"""),"Matera")</f>
        <v>Matera</v>
      </c>
      <c r="I108">
        <f>IFERROR(__xludf.DUMMYFUNCTION("""COMPUTED_VALUE"""),68.0)</f>
        <v>68</v>
      </c>
      <c r="J108">
        <f>IFERROR(__xludf.DUMMYFUNCTION("""COMPUTED_VALUE"""),1033.0)</f>
        <v>1033</v>
      </c>
      <c r="K108" t="str">
        <f>IFERROR(__xludf.DUMMYFUNCTION("""COMPUTED_VALUE"""),"Italy")</f>
        <v>Italy</v>
      </c>
      <c r="L108">
        <f>IFERROR(__xludf.DUMMYFUNCTION("""COMPUTED_VALUE"""),64.0)</f>
        <v>64</v>
      </c>
      <c r="M108">
        <f>IFERROR(__xludf.DUMMYFUNCTION("""COMPUTED_VALUE"""),11.0)</f>
        <v>11</v>
      </c>
      <c r="N108">
        <f>IFERROR(__xludf.DUMMYFUNCTION("""COMPUTED_VALUE"""),42360.0)</f>
        <v>42360</v>
      </c>
    </row>
    <row r="109">
      <c r="A109">
        <f>IFERROR(__xludf.DUMMYFUNCTION("""COMPUTED_VALUE"""),814.0)</f>
        <v>814</v>
      </c>
      <c r="B109">
        <f>IFERROR(__xludf.DUMMYFUNCTION("""COMPUTED_VALUE"""),40.66726)</f>
        <v>40.66726</v>
      </c>
      <c r="C109">
        <f>IFERROR(__xludf.DUMMYFUNCTION("""COMPUTED_VALUE"""),16.607283)</f>
        <v>16.607283</v>
      </c>
      <c r="D109" t="str">
        <f>IFERROR(__xludf.DUMMYFUNCTION("""COMPUTED_VALUE"""),"Affittacamere")</f>
        <v>Affittacamere</v>
      </c>
      <c r="E109" t="str">
        <f>IFERROR(__xludf.DUMMYFUNCTION("""COMPUTED_VALUE"""),"NEL MURO")</f>
        <v>NEL MURO</v>
      </c>
      <c r="F109" t="str">
        <f>IFERROR(__xludf.DUMMYFUNCTION("""COMPUTED_VALUE"""),"CIARFAGLIA GIUSEPPE")</f>
        <v>CIARFAGLIA GIUSEPPE</v>
      </c>
      <c r="G109" t="str">
        <f>IFERROR(__xludf.DUMMYFUNCTION("""COMPUTED_VALUE"""),"PIAZZETTA SAN BIAGIO 17-18")</f>
        <v>PIAZZETTA SAN BIAGIO 17-18</v>
      </c>
      <c r="H109" t="str">
        <f>IFERROR(__xludf.DUMMYFUNCTION("""COMPUTED_VALUE"""),"Matera")</f>
        <v>Matera</v>
      </c>
      <c r="I109">
        <f>IFERROR(__xludf.DUMMYFUNCTION("""COMPUTED_VALUE"""),159.0)</f>
        <v>159</v>
      </c>
      <c r="J109" t="str">
        <f>IFERROR(__xludf.DUMMYFUNCTION("""COMPUTED_VALUE"""),"")</f>
        <v/>
      </c>
      <c r="K109" t="str">
        <f>IFERROR(__xludf.DUMMYFUNCTION("""COMPUTED_VALUE"""),"Italy")</f>
        <v>Italy</v>
      </c>
      <c r="L109">
        <f>IFERROR(__xludf.DUMMYFUNCTION("""COMPUTED_VALUE"""),6.0)</f>
        <v>6</v>
      </c>
      <c r="M109">
        <f>IFERROR(__xludf.DUMMYFUNCTION("""COMPUTED_VALUE"""),9.0)</f>
        <v>9</v>
      </c>
      <c r="N109">
        <f>IFERROR(__xludf.DUMMYFUNCTION("""COMPUTED_VALUE"""),42282.0)</f>
        <v>42282</v>
      </c>
    </row>
    <row r="110">
      <c r="A110">
        <f>IFERROR(__xludf.DUMMYFUNCTION("""COMPUTED_VALUE"""),816.0)</f>
        <v>816</v>
      </c>
      <c r="B110">
        <f>IFERROR(__xludf.DUMMYFUNCTION("""COMPUTED_VALUE"""),40.6470963019558)</f>
        <v>40.6470963</v>
      </c>
      <c r="C110">
        <f>IFERROR(__xludf.DUMMYFUNCTION("""COMPUTED_VALUE"""),16.6276110388139)</f>
        <v>16.62761104</v>
      </c>
      <c r="D110" t="str">
        <f>IFERROR(__xludf.DUMMYFUNCTION("""COMPUTED_VALUE"""),"Affittacamere")</f>
        <v>Affittacamere</v>
      </c>
      <c r="E110" t="str">
        <f>IFERROR(__xludf.DUMMYFUNCTION("""COMPUTED_VALUE"""),"OFRA MATERA")</f>
        <v>OFRA MATERA</v>
      </c>
      <c r="F110" t="str">
        <f>IFERROR(__xludf.DUMMYFUNCTION("""COMPUTED_VALUE"""),"MARIA CARMELA BRUNO")</f>
        <v>MARIA CARMELA BRUNO</v>
      </c>
      <c r="G110" t="str">
        <f>IFERROR(__xludf.DUMMYFUNCTION("""COMPUTED_VALUE"""),"C.DA AGNA LOC. DE LENA snc.")</f>
        <v>C.DA AGNA LOC. DE LENA snc.</v>
      </c>
      <c r="H110" t="str">
        <f>IFERROR(__xludf.DUMMYFUNCTION("""COMPUTED_VALUE"""),"Matera")</f>
        <v>Matera</v>
      </c>
      <c r="I110">
        <f>IFERROR(__xludf.DUMMYFUNCTION("""COMPUTED_VALUE"""),107.0)</f>
        <v>107</v>
      </c>
      <c r="J110">
        <f>IFERROR(__xludf.DUMMYFUNCTION("""COMPUTED_VALUE"""),514.0)</f>
        <v>514</v>
      </c>
      <c r="K110" t="str">
        <f>IFERROR(__xludf.DUMMYFUNCTION("""COMPUTED_VALUE"""),"Italy")</f>
        <v>Italy</v>
      </c>
      <c r="L110">
        <f>IFERROR(__xludf.DUMMYFUNCTION("""COMPUTED_VALUE"""),1.0)</f>
        <v>1</v>
      </c>
      <c r="M110">
        <f>IFERROR(__xludf.DUMMYFUNCTION("""COMPUTED_VALUE"""),7.0)</f>
        <v>7</v>
      </c>
      <c r="N110">
        <f>IFERROR(__xludf.DUMMYFUNCTION("""COMPUTED_VALUE"""),42685.0)</f>
        <v>42685</v>
      </c>
    </row>
    <row r="111">
      <c r="A111">
        <f>IFERROR(__xludf.DUMMYFUNCTION("""COMPUTED_VALUE"""),817.0)</f>
        <v>817</v>
      </c>
      <c r="B111">
        <f>IFERROR(__xludf.DUMMYFUNCTION("""COMPUTED_VALUE"""),40.6675210901631)</f>
        <v>40.66752109</v>
      </c>
      <c r="C111">
        <f>IFERROR(__xludf.DUMMYFUNCTION("""COMPUTED_VALUE"""),16.6099927164398)</f>
        <v>16.60999272</v>
      </c>
      <c r="D111" t="str">
        <f>IFERROR(__xludf.DUMMYFUNCTION("""COMPUTED_VALUE"""),"Affittacamere")</f>
        <v>Affittacamere</v>
      </c>
      <c r="E111" t="str">
        <f>IFERROR(__xludf.DUMMYFUNCTION("""COMPUTED_VALUE"""),"RIZZI RESIDENCE")</f>
        <v>RIZZI RESIDENCE</v>
      </c>
      <c r="F111" t="str">
        <f>IFERROR(__xludf.DUMMYFUNCTION("""COMPUTED_VALUE"""),"RIZZI EUSTACHIO")</f>
        <v>RIZZI EUSTACHIO</v>
      </c>
      <c r="G111" t="str">
        <f>IFERROR(__xludf.DUMMYFUNCTION("""COMPUTED_VALUE"""),"VIA SAN GIOVANNI VECCHIO 72-73")</f>
        <v>VIA SAN GIOVANNI VECCHIO 72-73</v>
      </c>
      <c r="H111" t="str">
        <f>IFERROR(__xludf.DUMMYFUNCTION("""COMPUTED_VALUE"""),"Matera")</f>
        <v>Matera</v>
      </c>
      <c r="I111">
        <f>IFERROR(__xludf.DUMMYFUNCTION("""COMPUTED_VALUE"""),159.0)</f>
        <v>159</v>
      </c>
      <c r="J111">
        <f>IFERROR(__xludf.DUMMYFUNCTION("""COMPUTED_VALUE"""),302.0)</f>
        <v>302</v>
      </c>
      <c r="K111" t="str">
        <f>IFERROR(__xludf.DUMMYFUNCTION("""COMPUTED_VALUE"""),"Italy")</f>
        <v>Italy</v>
      </c>
      <c r="L111">
        <f>IFERROR(__xludf.DUMMYFUNCTION("""COMPUTED_VALUE"""),5.0)</f>
        <v>5</v>
      </c>
      <c r="M111">
        <f>IFERROR(__xludf.DUMMYFUNCTION("""COMPUTED_VALUE"""),8.0)</f>
        <v>8</v>
      </c>
      <c r="N111">
        <f>IFERROR(__xludf.DUMMYFUNCTION("""COMPUTED_VALUE"""),42683.0)</f>
        <v>42683</v>
      </c>
    </row>
    <row r="112">
      <c r="A112">
        <f>IFERROR(__xludf.DUMMYFUNCTION("""COMPUTED_VALUE"""),818.0)</f>
        <v>818</v>
      </c>
      <c r="B112">
        <f>IFERROR(__xludf.DUMMYFUNCTION("""COMPUTED_VALUE"""),40.6703410950492)</f>
        <v>40.6703411</v>
      </c>
      <c r="C112">
        <f>IFERROR(__xludf.DUMMYFUNCTION("""COMPUTED_VALUE"""),16.6078599151644)</f>
        <v>16.60785992</v>
      </c>
      <c r="D112" t="str">
        <f>IFERROR(__xludf.DUMMYFUNCTION("""COMPUTED_VALUE"""),"Affittacamere")</f>
        <v>Affittacamere</v>
      </c>
      <c r="E112" t="str">
        <f>IFERROR(__xludf.DUMMYFUNCTION("""COMPUTED_VALUE"""),"LE VOLTE -DEPENDANCE")</f>
        <v>LE VOLTE -DEPENDANCE</v>
      </c>
      <c r="F112" t="str">
        <f>IFERROR(__xludf.DUMMYFUNCTION("""COMPUTED_VALUE"""),"SUDTEKNE SRL")</f>
        <v>SUDTEKNE SRL</v>
      </c>
      <c r="G112" t="str">
        <f>IFERROR(__xludf.DUMMYFUNCTION("""COMPUTED_VALUE"""),"VIA G.B. PENTASUGLIA 11 1 PIANO")</f>
        <v>VIA G.B. PENTASUGLIA 11 1 PIANO</v>
      </c>
      <c r="H112" t="str">
        <f>IFERROR(__xludf.DUMMYFUNCTION("""COMPUTED_VALUE"""),"Matera")</f>
        <v>Matera</v>
      </c>
      <c r="I112">
        <f>IFERROR(__xludf.DUMMYFUNCTION("""COMPUTED_VALUE"""),159.0)</f>
        <v>159</v>
      </c>
      <c r="J112">
        <f>IFERROR(__xludf.DUMMYFUNCTION("""COMPUTED_VALUE"""),3601.0)</f>
        <v>3601</v>
      </c>
      <c r="K112" t="str">
        <f>IFERROR(__xludf.DUMMYFUNCTION("""COMPUTED_VALUE"""),"Italy")</f>
        <v>Italy</v>
      </c>
      <c r="L112">
        <f>IFERROR(__xludf.DUMMYFUNCTION("""COMPUTED_VALUE"""),1.0)</f>
        <v>1</v>
      </c>
      <c r="M112">
        <f>IFERROR(__xludf.DUMMYFUNCTION("""COMPUTED_VALUE"""),16.0)</f>
        <v>16</v>
      </c>
      <c r="N112">
        <f>IFERROR(__xludf.DUMMYFUNCTION("""COMPUTED_VALUE"""),43250.0)</f>
        <v>43250</v>
      </c>
    </row>
    <row r="113">
      <c r="A113">
        <f>IFERROR(__xludf.DUMMYFUNCTION("""COMPUTED_VALUE"""),819.0)</f>
        <v>819</v>
      </c>
      <c r="B113">
        <f>IFERROR(__xludf.DUMMYFUNCTION("""COMPUTED_VALUE"""),40.6668607495057)</f>
        <v>40.66686075</v>
      </c>
      <c r="C113">
        <f>IFERROR(__xludf.DUMMYFUNCTION("""COMPUTED_VALUE"""),16.6102936425687)</f>
        <v>16.61029364</v>
      </c>
      <c r="D113" t="str">
        <f>IFERROR(__xludf.DUMMYFUNCTION("""COMPUTED_VALUE"""),"Affittacamere")</f>
        <v>Affittacamere</v>
      </c>
      <c r="E113" t="str">
        <f>IFERROR(__xludf.DUMMYFUNCTION("""COMPUTED_VALUE"""),"IL PALAZZOTTO")</f>
        <v>IL PALAZZOTTO</v>
      </c>
      <c r="F113" t="str">
        <f>IFERROR(__xludf.DUMMYFUNCTION("""COMPUTED_VALUE"""),"D &amp; D  SRL")</f>
        <v>D &amp; D  SRL</v>
      </c>
      <c r="G113" t="str">
        <f>IFERROR(__xludf.DUMMYFUNCTION("""COMPUTED_VALUE"""),"VIA VETERA 84")</f>
        <v>VIA VETERA 84</v>
      </c>
      <c r="H113" t="str">
        <f>IFERROR(__xludf.DUMMYFUNCTION("""COMPUTED_VALUE"""),"Matera")</f>
        <v>Matera</v>
      </c>
      <c r="I113">
        <f>IFERROR(__xludf.DUMMYFUNCTION("""COMPUTED_VALUE"""),159.0)</f>
        <v>159</v>
      </c>
      <c r="J113">
        <f>IFERROR(__xludf.DUMMYFUNCTION("""COMPUTED_VALUE"""),876.0)</f>
        <v>876</v>
      </c>
      <c r="K113" t="str">
        <f>IFERROR(__xludf.DUMMYFUNCTION("""COMPUTED_VALUE"""),"Italy")</f>
        <v>Italy</v>
      </c>
      <c r="L113">
        <f>IFERROR(__xludf.DUMMYFUNCTION("""COMPUTED_VALUE"""),1.0)</f>
        <v>1</v>
      </c>
      <c r="M113">
        <f>IFERROR(__xludf.DUMMYFUNCTION("""COMPUTED_VALUE"""),4.0)</f>
        <v>4</v>
      </c>
      <c r="N113">
        <f>IFERROR(__xludf.DUMMYFUNCTION("""COMPUTED_VALUE"""),42727.0)</f>
        <v>42727</v>
      </c>
    </row>
    <row r="114">
      <c r="A114">
        <f>IFERROR(__xludf.DUMMYFUNCTION("""COMPUTED_VALUE"""),820.0)</f>
        <v>820</v>
      </c>
      <c r="B114">
        <f>IFERROR(__xludf.DUMMYFUNCTION("""COMPUTED_VALUE"""),40.6661823942598)</f>
        <v>40.66618239</v>
      </c>
      <c r="C114">
        <f>IFERROR(__xludf.DUMMYFUNCTION("""COMPUTED_VALUE"""),16.6063459054952)</f>
        <v>16.60634591</v>
      </c>
      <c r="D114" t="str">
        <f>IFERROR(__xludf.DUMMYFUNCTION("""COMPUTED_VALUE"""),"Affittacamere")</f>
        <v>Affittacamere</v>
      </c>
      <c r="E114" t="str">
        <f>IFERROR(__xludf.DUMMYFUNCTION("""COMPUTED_VALUE"""),"VITTORIO VENETO")</f>
        <v>VITTORIO VENETO</v>
      </c>
      <c r="F114" t="str">
        <f>IFERROR(__xludf.DUMMYFUNCTION("""COMPUTED_VALUE"""),"MORELLI MARIANGELA")</f>
        <v>MORELLI MARIANGELA</v>
      </c>
      <c r="G114" t="str">
        <f>IFERROR(__xludf.DUMMYFUNCTION("""COMPUTED_VALUE"""),"VIA ASCANIO PERSIO 2 1 PIANO")</f>
        <v>VIA ASCANIO PERSIO 2 1 PIANO</v>
      </c>
      <c r="H114" t="str">
        <f>IFERROR(__xludf.DUMMYFUNCTION("""COMPUTED_VALUE"""),"Matera")</f>
        <v>Matera</v>
      </c>
      <c r="I114">
        <f>IFERROR(__xludf.DUMMYFUNCTION("""COMPUTED_VALUE"""),159.0)</f>
        <v>159</v>
      </c>
      <c r="J114">
        <f>IFERROR(__xludf.DUMMYFUNCTION("""COMPUTED_VALUE"""),2707.0)</f>
        <v>2707</v>
      </c>
      <c r="K114" t="str">
        <f>IFERROR(__xludf.DUMMYFUNCTION("""COMPUTED_VALUE"""),"Italy")</f>
        <v>Italy</v>
      </c>
      <c r="L114">
        <f>IFERROR(__xludf.DUMMYFUNCTION("""COMPUTED_VALUE"""),16.0)</f>
        <v>16</v>
      </c>
      <c r="M114">
        <f>IFERROR(__xludf.DUMMYFUNCTION("""COMPUTED_VALUE"""),9.0)</f>
        <v>9</v>
      </c>
      <c r="N114">
        <f>IFERROR(__xludf.DUMMYFUNCTION("""COMPUTED_VALUE"""),42726.0)</f>
        <v>42726</v>
      </c>
    </row>
    <row r="115">
      <c r="A115">
        <f>IFERROR(__xludf.DUMMYFUNCTION("""COMPUTED_VALUE"""),821.0)</f>
        <v>821</v>
      </c>
      <c r="B115">
        <f>IFERROR(__xludf.DUMMYFUNCTION("""COMPUTED_VALUE"""),40.6684168824745)</f>
        <v>40.66841688</v>
      </c>
      <c r="C115">
        <f>IFERROR(__xludf.DUMMYFUNCTION("""COMPUTED_VALUE"""),16.6067259916954)</f>
        <v>16.60672599</v>
      </c>
      <c r="D115" t="str">
        <f>IFERROR(__xludf.DUMMYFUNCTION("""COMPUTED_VALUE"""),"Affittacamere")</f>
        <v>Affittacamere</v>
      </c>
      <c r="E115" t="str">
        <f>IFERROR(__xludf.DUMMYFUNCTION("""COMPUTED_VALUE"""),"PIAZZA KE'")</f>
        <v>PIAZZA KE'</v>
      </c>
      <c r="F115" t="str">
        <f>IFERROR(__xludf.DUMMYFUNCTION("""COMPUTED_VALUE"""),"ADRIANA PIGNATELLI")</f>
        <v>ADRIANA PIGNATELLI</v>
      </c>
      <c r="G115" t="str">
        <f>IFERROR(__xludf.DUMMYFUNCTION("""COMPUTED_VALUE"""),"REC. MARIO PAGANO 13 2° -3° PIANO")</f>
        <v>REC. MARIO PAGANO 13 2° -3° PIANO</v>
      </c>
      <c r="H115" t="str">
        <f>IFERROR(__xludf.DUMMYFUNCTION("""COMPUTED_VALUE"""),"Matera")</f>
        <v>Matera</v>
      </c>
      <c r="I115">
        <f>IFERROR(__xludf.DUMMYFUNCTION("""COMPUTED_VALUE"""),159.0)</f>
        <v>159</v>
      </c>
      <c r="J115">
        <f>IFERROR(__xludf.DUMMYFUNCTION("""COMPUTED_VALUE"""),863.0)</f>
        <v>863</v>
      </c>
      <c r="K115" t="str">
        <f>IFERROR(__xludf.DUMMYFUNCTION("""COMPUTED_VALUE"""),"Italy")</f>
        <v>Italy</v>
      </c>
      <c r="L115">
        <f>IFERROR(__xludf.DUMMYFUNCTION("""COMPUTED_VALUE"""),16.0)</f>
        <v>16</v>
      </c>
      <c r="M115">
        <f>IFERROR(__xludf.DUMMYFUNCTION("""COMPUTED_VALUE"""),12.0)</f>
        <v>12</v>
      </c>
      <c r="N115">
        <f>IFERROR(__xludf.DUMMYFUNCTION("""COMPUTED_VALUE"""),42733.0)</f>
        <v>42733</v>
      </c>
    </row>
    <row r="116">
      <c r="A116">
        <f>IFERROR(__xludf.DUMMYFUNCTION("""COMPUTED_VALUE"""),822.0)</f>
        <v>822</v>
      </c>
      <c r="B116">
        <f>IFERROR(__xludf.DUMMYFUNCTION("""COMPUTED_VALUE"""),40.6470963019558)</f>
        <v>40.6470963</v>
      </c>
      <c r="C116">
        <f>IFERROR(__xludf.DUMMYFUNCTION("""COMPUTED_VALUE"""),16.6276110388139)</f>
        <v>16.62761104</v>
      </c>
      <c r="D116" t="str">
        <f>IFERROR(__xludf.DUMMYFUNCTION("""COMPUTED_VALUE"""),"Affittacamere")</f>
        <v>Affittacamere</v>
      </c>
      <c r="E116" t="str">
        <f>IFERROR(__xludf.DUMMYFUNCTION("""COMPUTED_VALUE"""),"OFRA MATERA")</f>
        <v>OFRA MATERA</v>
      </c>
      <c r="F116" t="str">
        <f>IFERROR(__xludf.DUMMYFUNCTION("""COMPUTED_VALUE"""),"MARIA CARMELA BRUNO")</f>
        <v>MARIA CARMELA BRUNO</v>
      </c>
      <c r="G116" t="str">
        <f>IFERROR(__xludf.DUMMYFUNCTION("""COMPUTED_VALUE"""),"C.DA AGNA LOC. DE LENA snc.")</f>
        <v>C.DA AGNA LOC. DE LENA snc.</v>
      </c>
      <c r="H116" t="str">
        <f>IFERROR(__xludf.DUMMYFUNCTION("""COMPUTED_VALUE"""),"Matera")</f>
        <v>Matera</v>
      </c>
      <c r="I116">
        <f>IFERROR(__xludf.DUMMYFUNCTION("""COMPUTED_VALUE"""),107.0)</f>
        <v>107</v>
      </c>
      <c r="J116">
        <f>IFERROR(__xludf.DUMMYFUNCTION("""COMPUTED_VALUE"""),514.0)</f>
        <v>514</v>
      </c>
      <c r="K116" t="str">
        <f>IFERROR(__xludf.DUMMYFUNCTION("""COMPUTED_VALUE"""),"Italy")</f>
        <v>Italy</v>
      </c>
      <c r="L116">
        <f>IFERROR(__xludf.DUMMYFUNCTION("""COMPUTED_VALUE"""),1.0)</f>
        <v>1</v>
      </c>
      <c r="M116">
        <f>IFERROR(__xludf.DUMMYFUNCTION("""COMPUTED_VALUE"""),7.0)</f>
        <v>7</v>
      </c>
      <c r="N116">
        <f>IFERROR(__xludf.DUMMYFUNCTION("""COMPUTED_VALUE"""),42685.0)</f>
        <v>42685</v>
      </c>
    </row>
    <row r="117">
      <c r="A117">
        <f>IFERROR(__xludf.DUMMYFUNCTION("""COMPUTED_VALUE"""),823.0)</f>
        <v>823</v>
      </c>
      <c r="B117">
        <f>IFERROR(__xludf.DUMMYFUNCTION("""COMPUTED_VALUE"""),40.6725999264149)</f>
        <v>40.67259993</v>
      </c>
      <c r="C117">
        <f>IFERROR(__xludf.DUMMYFUNCTION("""COMPUTED_VALUE"""),16.6002165808976)</f>
        <v>16.60021658</v>
      </c>
      <c r="D117" t="str">
        <f>IFERROR(__xludf.DUMMYFUNCTION("""COMPUTED_VALUE"""),"Affittacamere")</f>
        <v>Affittacamere</v>
      </c>
      <c r="E117" t="str">
        <f>IFERROR(__xludf.DUMMYFUNCTION("""COMPUTED_VALUE"""),"TESTA O CROCE")</f>
        <v>TESTA O CROCE</v>
      </c>
      <c r="F117" t="str">
        <f>IFERROR(__xludf.DUMMYFUNCTION("""COMPUTED_VALUE"""),"DE RISO BEATRICE")</f>
        <v>DE RISO BEATRICE</v>
      </c>
      <c r="G117" t="str">
        <f>IFERROR(__xludf.DUMMYFUNCTION("""COMPUTED_VALUE"""),"VIA DELLA CROCE  9/A 1°PIANP")</f>
        <v>VIA DELLA CROCE  9/A 1°PIANP</v>
      </c>
      <c r="H117" t="str">
        <f>IFERROR(__xludf.DUMMYFUNCTION("""COMPUTED_VALUE"""),"Matera")</f>
        <v>Matera</v>
      </c>
      <c r="I117">
        <f>IFERROR(__xludf.DUMMYFUNCTION("""COMPUTED_VALUE"""),71.0)</f>
        <v>71</v>
      </c>
      <c r="J117">
        <f>IFERROR(__xludf.DUMMYFUNCTION("""COMPUTED_VALUE"""),787.0)</f>
        <v>787</v>
      </c>
      <c r="K117" t="str">
        <f>IFERROR(__xludf.DUMMYFUNCTION("""COMPUTED_VALUE"""),"Italy")</f>
        <v>Italy</v>
      </c>
      <c r="L117">
        <f>IFERROR(__xludf.DUMMYFUNCTION("""COMPUTED_VALUE"""),2.0)</f>
        <v>2</v>
      </c>
      <c r="M117">
        <f>IFERROR(__xludf.DUMMYFUNCTION("""COMPUTED_VALUE"""),6.0)</f>
        <v>6</v>
      </c>
      <c r="N117">
        <f>IFERROR(__xludf.DUMMYFUNCTION("""COMPUTED_VALUE"""),42803.0)</f>
        <v>42803</v>
      </c>
    </row>
    <row r="118">
      <c r="A118">
        <f>IFERROR(__xludf.DUMMYFUNCTION("""COMPUTED_VALUE"""),824.0)</f>
        <v>824</v>
      </c>
      <c r="B118">
        <f>IFERROR(__xludf.DUMMYFUNCTION("""COMPUTED_VALUE"""),40.6632118082484)</f>
        <v>40.66321181</v>
      </c>
      <c r="C118">
        <f>IFERROR(__xludf.DUMMYFUNCTION("""COMPUTED_VALUE"""),16.6089608869953)</f>
        <v>16.60896089</v>
      </c>
      <c r="D118" t="str">
        <f>IFERROR(__xludf.DUMMYFUNCTION("""COMPUTED_VALUE"""),"Affittacamere")</f>
        <v>Affittacamere</v>
      </c>
      <c r="E118" t="str">
        <f>IFERROR(__xludf.DUMMYFUNCTION("""COMPUTED_VALUE"""),"VICOLO FIORE")</f>
        <v>VICOLO FIORE</v>
      </c>
      <c r="F118" t="str">
        <f>IFERROR(__xludf.DUMMYFUNCTION("""COMPUTED_VALUE"""),"VINCENZO FIORE")</f>
        <v>VINCENZO FIORE</v>
      </c>
      <c r="G118" t="str">
        <f>IFERROR(__xludf.DUMMYFUNCTION("""COMPUTED_VALUE"""),"VICO II E. DUNI 16")</f>
        <v>VICO II E. DUNI 16</v>
      </c>
      <c r="H118" t="str">
        <f>IFERROR(__xludf.DUMMYFUNCTION("""COMPUTED_VALUE"""),"Matera")</f>
        <v>Matera</v>
      </c>
      <c r="I118">
        <f>IFERROR(__xludf.DUMMYFUNCTION("""COMPUTED_VALUE"""),159.0)</f>
        <v>159</v>
      </c>
      <c r="J118">
        <f>IFERROR(__xludf.DUMMYFUNCTION("""COMPUTED_VALUE"""),2997.0)</f>
        <v>2997</v>
      </c>
      <c r="K118" t="str">
        <f>IFERROR(__xludf.DUMMYFUNCTION("""COMPUTED_VALUE"""),"Italy")</f>
        <v>Italy</v>
      </c>
      <c r="L118">
        <f>IFERROR(__xludf.DUMMYFUNCTION("""COMPUTED_VALUE"""),5.0)</f>
        <v>5</v>
      </c>
      <c r="M118">
        <f>IFERROR(__xludf.DUMMYFUNCTION("""COMPUTED_VALUE"""),4.0)</f>
        <v>4</v>
      </c>
      <c r="N118">
        <f>IFERROR(__xludf.DUMMYFUNCTION("""COMPUTED_VALUE"""),42800.0)</f>
        <v>42800</v>
      </c>
    </row>
    <row r="119">
      <c r="A119">
        <f>IFERROR(__xludf.DUMMYFUNCTION("""COMPUTED_VALUE"""),825.0)</f>
        <v>825</v>
      </c>
      <c r="B119">
        <f>IFERROR(__xludf.DUMMYFUNCTION("""COMPUTED_VALUE"""),40.6652764751615)</f>
        <v>40.66527648</v>
      </c>
      <c r="C119">
        <f>IFERROR(__xludf.DUMMYFUNCTION("""COMPUTED_VALUE"""),16.6037846028724)</f>
        <v>16.6037846</v>
      </c>
      <c r="D119" t="str">
        <f>IFERROR(__xludf.DUMMYFUNCTION("""COMPUTED_VALUE"""),"Affittacamere")</f>
        <v>Affittacamere</v>
      </c>
      <c r="E119" t="str">
        <f>IFERROR(__xludf.DUMMYFUNCTION("""COMPUTED_VALUE"""),"NICOLA'S LUXURY ROOMS")</f>
        <v>NICOLA'S LUXURY ROOMS</v>
      </c>
      <c r="F119" t="str">
        <f>IFERROR(__xludf.DUMMYFUNCTION("""COMPUTED_VALUE"""),"NICOLA'S 15 di moramarco luigi &amp;c.")</f>
        <v>NICOLA'S 15 di moramarco luigi &amp;c.</v>
      </c>
      <c r="G119" t="str">
        <f>IFERROR(__xludf.DUMMYFUNCTION("""COMPUTED_VALUE"""),"VIA TORRACA 26")</f>
        <v>VIA TORRACA 26</v>
      </c>
      <c r="H119" t="str">
        <f>IFERROR(__xludf.DUMMYFUNCTION("""COMPUTED_VALUE"""),"Matera")</f>
        <v>Matera</v>
      </c>
      <c r="I119">
        <f>IFERROR(__xludf.DUMMYFUNCTION("""COMPUTED_VALUE"""),71.0)</f>
        <v>71</v>
      </c>
      <c r="J119">
        <f>IFERROR(__xludf.DUMMYFUNCTION("""COMPUTED_VALUE"""),464.0)</f>
        <v>464</v>
      </c>
      <c r="K119" t="str">
        <f>IFERROR(__xludf.DUMMYFUNCTION("""COMPUTED_VALUE"""),"Italy")</f>
        <v>Italy</v>
      </c>
      <c r="L119">
        <f>IFERROR(__xludf.DUMMYFUNCTION("""COMPUTED_VALUE"""),1.0)</f>
        <v>1</v>
      </c>
      <c r="M119">
        <f>IFERROR(__xludf.DUMMYFUNCTION("""COMPUTED_VALUE"""),7.0)</f>
        <v>7</v>
      </c>
      <c r="N119">
        <f>IFERROR(__xludf.DUMMYFUNCTION("""COMPUTED_VALUE"""),42814.0)</f>
        <v>42814</v>
      </c>
    </row>
    <row r="120">
      <c r="A120">
        <f>IFERROR(__xludf.DUMMYFUNCTION("""COMPUTED_VALUE"""),827.0)</f>
        <v>827</v>
      </c>
      <c r="B120">
        <f>IFERROR(__xludf.DUMMYFUNCTION("""COMPUTED_VALUE"""),40.6680856203507)</f>
        <v>40.66808562</v>
      </c>
      <c r="C120">
        <f>IFERROR(__xludf.DUMMYFUNCTION("""COMPUTED_VALUE"""),16.5813989795085)</f>
        <v>16.58139898</v>
      </c>
      <c r="D120" t="str">
        <f>IFERROR(__xludf.DUMMYFUNCTION("""COMPUTED_VALUE"""),"Affittacamere")</f>
        <v>Affittacamere</v>
      </c>
      <c r="E120" t="str">
        <f>IFERROR(__xludf.DUMMYFUNCTION("""COMPUTED_VALUE"""),"LA VILETTA")</f>
        <v>LA VILETTA</v>
      </c>
      <c r="F120" t="str">
        <f>IFERROR(__xludf.DUMMYFUNCTION("""COMPUTED_VALUE"""),"XENIA MATERA SAS")</f>
        <v>XENIA MATERA SAS</v>
      </c>
      <c r="G120" t="str">
        <f>IFERROR(__xludf.DUMMYFUNCTION("""COMPUTED_VALUE"""),"C.DA SAN GIACOMO snc")</f>
        <v>C.DA SAN GIACOMO snc</v>
      </c>
      <c r="H120" t="str">
        <f>IFERROR(__xludf.DUMMYFUNCTION("""COMPUTED_VALUE"""),"Matera")</f>
        <v>Matera</v>
      </c>
      <c r="I120">
        <f>IFERROR(__xludf.DUMMYFUNCTION("""COMPUTED_VALUE"""),97.0)</f>
        <v>97</v>
      </c>
      <c r="J120">
        <f>IFERROR(__xludf.DUMMYFUNCTION("""COMPUTED_VALUE"""),939.0)</f>
        <v>939</v>
      </c>
      <c r="K120" t="str">
        <f>IFERROR(__xludf.DUMMYFUNCTION("""COMPUTED_VALUE"""),"Italy")</f>
        <v>Italy</v>
      </c>
      <c r="L120">
        <f>IFERROR(__xludf.DUMMYFUNCTION("""COMPUTED_VALUE"""),2.0)</f>
        <v>2</v>
      </c>
      <c r="M120">
        <f>IFERROR(__xludf.DUMMYFUNCTION("""COMPUTED_VALUE"""),11.0)</f>
        <v>11</v>
      </c>
      <c r="N120">
        <f>IFERROR(__xludf.DUMMYFUNCTION("""COMPUTED_VALUE"""),42828.0)</f>
        <v>42828</v>
      </c>
    </row>
    <row r="121">
      <c r="A121">
        <f>IFERROR(__xludf.DUMMYFUNCTION("""COMPUTED_VALUE"""),828.0)</f>
        <v>828</v>
      </c>
      <c r="B121">
        <f>IFERROR(__xludf.DUMMYFUNCTION("""COMPUTED_VALUE"""),40.6700329869986)</f>
        <v>40.67003299</v>
      </c>
      <c r="C121">
        <f>IFERROR(__xludf.DUMMYFUNCTION("""COMPUTED_VALUE"""),16.6082774161695)</f>
        <v>16.60827742</v>
      </c>
      <c r="D121" t="str">
        <f>IFERROR(__xludf.DUMMYFUNCTION("""COMPUTED_VALUE"""),"Affittacamere")</f>
        <v>Affittacamere</v>
      </c>
      <c r="E121" t="str">
        <f>IFERROR(__xludf.DUMMYFUNCTION("""COMPUTED_VALUE"""),"LE ORIGINI DEPANDANCE")</f>
        <v>LE ORIGINI DEPANDANCE</v>
      </c>
      <c r="F121" t="str">
        <f>IFERROR(__xludf.DUMMYFUNCTION("""COMPUTED_VALUE"""),"EUSTACHIO D'ERCOLE")</f>
        <v>EUSTACHIO D'ERCOLE</v>
      </c>
      <c r="G121" t="str">
        <f>IFERROR(__xludf.DUMMYFUNCTION("""COMPUTED_VALUE"""),"VIA PIAVE 23")</f>
        <v>VIA PIAVE 23</v>
      </c>
      <c r="H121" t="str">
        <f>IFERROR(__xludf.DUMMYFUNCTION("""COMPUTED_VALUE"""),"Matera")</f>
        <v>Matera</v>
      </c>
      <c r="I121">
        <f>IFERROR(__xludf.DUMMYFUNCTION("""COMPUTED_VALUE"""),159.0)</f>
        <v>159</v>
      </c>
      <c r="J121">
        <f>IFERROR(__xludf.DUMMYFUNCTION("""COMPUTED_VALUE"""),3574.0)</f>
        <v>3574</v>
      </c>
      <c r="K121" t="str">
        <f>IFERROR(__xludf.DUMMYFUNCTION("""COMPUTED_VALUE"""),"Italy")</f>
        <v>Italy</v>
      </c>
      <c r="L121">
        <f>IFERROR(__xludf.DUMMYFUNCTION("""COMPUTED_VALUE"""),10.0)</f>
        <v>10</v>
      </c>
      <c r="M121">
        <f>IFERROR(__xludf.DUMMYFUNCTION("""COMPUTED_VALUE"""),16.0)</f>
        <v>16</v>
      </c>
      <c r="N121">
        <f>IFERROR(__xludf.DUMMYFUNCTION("""COMPUTED_VALUE"""),42844.0)</f>
        <v>42844</v>
      </c>
    </row>
    <row r="122">
      <c r="A122">
        <f>IFERROR(__xludf.DUMMYFUNCTION("""COMPUTED_VALUE"""),829.0)</f>
        <v>829</v>
      </c>
      <c r="B122">
        <f>IFERROR(__xludf.DUMMYFUNCTION("""COMPUTED_VALUE"""),40.6665153032615)</f>
        <v>40.6665153</v>
      </c>
      <c r="C122">
        <f>IFERROR(__xludf.DUMMYFUNCTION("""COMPUTED_VALUE"""),16.6084077363686)</f>
        <v>16.60840774</v>
      </c>
      <c r="D122" t="str">
        <f>IFERROR(__xludf.DUMMYFUNCTION("""COMPUTED_VALUE"""),"Affittacamere")</f>
        <v>Affittacamere</v>
      </c>
      <c r="E122" t="str">
        <f>IFERROR(__xludf.DUMMYFUNCTION("""COMPUTED_VALUE"""),"PIANO PIANO")</f>
        <v>PIANO PIANO</v>
      </c>
      <c r="F122" t="str">
        <f>IFERROR(__xludf.DUMMYFUNCTION("""COMPUTED_VALUE"""),"TG26 SRL")</f>
        <v>TG26 SRL</v>
      </c>
      <c r="G122" t="str">
        <f>IFERROR(__xludf.DUMMYFUNCTION("""COMPUTED_VALUE"""),"REC.1° FIORENTINI 3")</f>
        <v>REC.1° FIORENTINI 3</v>
      </c>
      <c r="H122" t="str">
        <f>IFERROR(__xludf.DUMMYFUNCTION("""COMPUTED_VALUE"""),"Matera")</f>
        <v>Matera</v>
      </c>
      <c r="I122">
        <f>IFERROR(__xludf.DUMMYFUNCTION("""COMPUTED_VALUE"""),159.0)</f>
        <v>159</v>
      </c>
      <c r="J122">
        <f>IFERROR(__xludf.DUMMYFUNCTION("""COMPUTED_VALUE"""),430.0)</f>
        <v>430</v>
      </c>
      <c r="K122" t="str">
        <f>IFERROR(__xludf.DUMMYFUNCTION("""COMPUTED_VALUE"""),"Italy")</f>
        <v>Italy</v>
      </c>
      <c r="L122">
        <f>IFERROR(__xludf.DUMMYFUNCTION("""COMPUTED_VALUE"""),2.0)</f>
        <v>2</v>
      </c>
      <c r="M122">
        <f>IFERROR(__xludf.DUMMYFUNCTION("""COMPUTED_VALUE"""),8.0)</f>
        <v>8</v>
      </c>
      <c r="N122">
        <f>IFERROR(__xludf.DUMMYFUNCTION("""COMPUTED_VALUE"""),42842.0)</f>
        <v>42842</v>
      </c>
    </row>
    <row r="123">
      <c r="A123">
        <f>IFERROR(__xludf.DUMMYFUNCTION("""COMPUTED_VALUE"""),830.0)</f>
        <v>830</v>
      </c>
      <c r="B123">
        <f>IFERROR(__xludf.DUMMYFUNCTION("""COMPUTED_VALUE"""),40.6588950955032)</f>
        <v>40.6588951</v>
      </c>
      <c r="C123">
        <f>IFERROR(__xludf.DUMMYFUNCTION("""COMPUTED_VALUE"""),16.615631679413)</f>
        <v>16.61563168</v>
      </c>
      <c r="D123" t="str">
        <f>IFERROR(__xludf.DUMMYFUNCTION("""COMPUTED_VALUE"""),"Affittacamere")</f>
        <v>Affittacamere</v>
      </c>
      <c r="E123" t="str">
        <f>IFERROR(__xludf.DUMMYFUNCTION("""COMPUTED_VALUE"""),"L'ALBA ROSA")</f>
        <v>L'ALBA ROSA</v>
      </c>
      <c r="F123" t="str">
        <f>IFERROR(__xludf.DUMMYFUNCTION("""COMPUTED_VALUE"""),"CAPPIELLO PIETRO ANTONIO")</f>
        <v>CAPPIELLO PIETRO ANTONIO</v>
      </c>
      <c r="G123" t="str">
        <f>IFERROR(__xludf.DUMMYFUNCTION("""COMPUTED_VALUE"""),"VIA LUCANA 319/B")</f>
        <v>VIA LUCANA 319/B</v>
      </c>
      <c r="H123" t="str">
        <f>IFERROR(__xludf.DUMMYFUNCTION("""COMPUTED_VALUE"""),"Matera")</f>
        <v>Matera</v>
      </c>
      <c r="I123">
        <f>IFERROR(__xludf.DUMMYFUNCTION("""COMPUTED_VALUE"""),159.0)</f>
        <v>159</v>
      </c>
      <c r="J123">
        <f>IFERROR(__xludf.DUMMYFUNCTION("""COMPUTED_VALUE"""),4595.0)</f>
        <v>4595</v>
      </c>
      <c r="K123" t="str">
        <f>IFERROR(__xludf.DUMMYFUNCTION("""COMPUTED_VALUE"""),"Italy")</f>
        <v>Italy</v>
      </c>
      <c r="L123">
        <f>IFERROR(__xludf.DUMMYFUNCTION("""COMPUTED_VALUE"""),8.0)</f>
        <v>8</v>
      </c>
      <c r="M123">
        <f>IFERROR(__xludf.DUMMYFUNCTION("""COMPUTED_VALUE"""),5.0)</f>
        <v>5</v>
      </c>
      <c r="N123">
        <f>IFERROR(__xludf.DUMMYFUNCTION("""COMPUTED_VALUE"""),42885.0)</f>
        <v>42885</v>
      </c>
    </row>
    <row r="124">
      <c r="A124">
        <f>IFERROR(__xludf.DUMMYFUNCTION("""COMPUTED_VALUE"""),831.0)</f>
        <v>831</v>
      </c>
      <c r="B124">
        <f>IFERROR(__xludf.DUMMYFUNCTION("""COMPUTED_VALUE"""),40.6658193559525)</f>
        <v>40.66581936</v>
      </c>
      <c r="C124">
        <f>IFERROR(__xludf.DUMMYFUNCTION("""COMPUTED_VALUE"""),16.6103795742877)</f>
        <v>16.61037957</v>
      </c>
      <c r="D124" t="str">
        <f>IFERROR(__xludf.DUMMYFUNCTION("""COMPUTED_VALUE"""),"Affittacamere")</f>
        <v>Affittacamere</v>
      </c>
      <c r="E124" t="str">
        <f>IFERROR(__xludf.DUMMYFUNCTION("""COMPUTED_VALUE"""),"ANTICA TORRE DI IUSO")</f>
        <v>ANTICA TORRE DI IUSO</v>
      </c>
      <c r="F124" t="str">
        <f>IFERROR(__xludf.DUMMYFUNCTION("""COMPUTED_VALUE"""),"MELLI ALINA")</f>
        <v>MELLI ALINA</v>
      </c>
      <c r="G124" t="str">
        <f>IFERROR(__xludf.DUMMYFUNCTION("""COMPUTED_VALUE"""),"VIA DUOMO 10  terzo piano")</f>
        <v>VIA DUOMO 10  terzo piano</v>
      </c>
      <c r="H124" t="str">
        <f>IFERROR(__xludf.DUMMYFUNCTION("""COMPUTED_VALUE"""),"Matera")</f>
        <v>Matera</v>
      </c>
      <c r="I124">
        <f>IFERROR(__xludf.DUMMYFUNCTION("""COMPUTED_VALUE"""),159.0)</f>
        <v>159</v>
      </c>
      <c r="J124">
        <f>IFERROR(__xludf.DUMMYFUNCTION("""COMPUTED_VALUE"""),1542.0)</f>
        <v>1542</v>
      </c>
      <c r="K124" t="str">
        <f>IFERROR(__xludf.DUMMYFUNCTION("""COMPUTED_VALUE"""),"Italy")</f>
        <v>Italy</v>
      </c>
      <c r="L124">
        <f>IFERROR(__xludf.DUMMYFUNCTION("""COMPUTED_VALUE"""),19.0)</f>
        <v>19</v>
      </c>
      <c r="M124">
        <f>IFERROR(__xludf.DUMMYFUNCTION("""COMPUTED_VALUE"""),8.0)</f>
        <v>8</v>
      </c>
      <c r="N124">
        <f>IFERROR(__xludf.DUMMYFUNCTION("""COMPUTED_VALUE"""),42925.0)</f>
        <v>42925</v>
      </c>
    </row>
    <row r="125">
      <c r="A125">
        <f>IFERROR(__xludf.DUMMYFUNCTION("""COMPUTED_VALUE"""),832.0)</f>
        <v>832</v>
      </c>
      <c r="B125">
        <f>IFERROR(__xludf.DUMMYFUNCTION("""COMPUTED_VALUE"""),40.6654191056068)</f>
        <v>40.66541911</v>
      </c>
      <c r="C125">
        <f>IFERROR(__xludf.DUMMYFUNCTION("""COMPUTED_VALUE"""),16.6114002871055)</f>
        <v>16.61140029</v>
      </c>
      <c r="D125" t="str">
        <f>IFERROR(__xludf.DUMMYFUNCTION("""COMPUTED_VALUE"""),"Affittacamere")</f>
        <v>Affittacamere</v>
      </c>
      <c r="E125" t="str">
        <f>IFERROR(__xludf.DUMMYFUNCTION("""COMPUTED_VALUE"""),"MAISON D'HAUTE MAISON D'AX")</f>
        <v>MAISON D'HAUTE MAISON D'AX</v>
      </c>
      <c r="F125" t="str">
        <f>IFERROR(__xludf.DUMMYFUNCTION("""COMPUTED_VALUE"""),"TITO DIMAGGIO")</f>
        <v>TITO DIMAGGIO</v>
      </c>
      <c r="G125" t="str">
        <f>IFERROR(__xludf.DUMMYFUNCTION("""COMPUTED_VALUE"""),"VIA MURO 38")</f>
        <v>VIA MURO 38</v>
      </c>
      <c r="H125" t="str">
        <f>IFERROR(__xludf.DUMMYFUNCTION("""COMPUTED_VALUE"""),"Matera")</f>
        <v>Matera</v>
      </c>
      <c r="I125">
        <f>IFERROR(__xludf.DUMMYFUNCTION("""COMPUTED_VALUE"""),159.0)</f>
        <v>159</v>
      </c>
      <c r="J125">
        <f>IFERROR(__xludf.DUMMYFUNCTION("""COMPUTED_VALUE"""),1446.0)</f>
        <v>1446</v>
      </c>
      <c r="K125" t="str">
        <f>IFERROR(__xludf.DUMMYFUNCTION("""COMPUTED_VALUE"""),"Italy")</f>
        <v>Italy</v>
      </c>
      <c r="L125">
        <f>IFERROR(__xludf.DUMMYFUNCTION("""COMPUTED_VALUE"""),1.0)</f>
        <v>1</v>
      </c>
      <c r="M125">
        <f>IFERROR(__xludf.DUMMYFUNCTION("""COMPUTED_VALUE"""),16.0)</f>
        <v>16</v>
      </c>
      <c r="N125">
        <f>IFERROR(__xludf.DUMMYFUNCTION("""COMPUTED_VALUE"""),42983.0)</f>
        <v>42983</v>
      </c>
    </row>
    <row r="126">
      <c r="A126">
        <f>IFERROR(__xludf.DUMMYFUNCTION("""COMPUTED_VALUE"""),833.0)</f>
        <v>833</v>
      </c>
      <c r="B126">
        <f>IFERROR(__xludf.DUMMYFUNCTION("""COMPUTED_VALUE"""),40.6688015825163)</f>
        <v>40.66880158</v>
      </c>
      <c r="C126">
        <f>IFERROR(__xludf.DUMMYFUNCTION("""COMPUTED_VALUE"""),16.6105902513355)</f>
        <v>16.61059025</v>
      </c>
      <c r="D126" t="str">
        <f>IFERROR(__xludf.DUMMYFUNCTION("""COMPUTED_VALUE"""),"Affittacamere")</f>
        <v>Affittacamere</v>
      </c>
      <c r="E126" t="str">
        <f>IFERROR(__xludf.DUMMYFUNCTION("""COMPUTED_VALUE"""),"THYMUS RESIDENCE MATERA")</f>
        <v>THYMUS RESIDENCE MATERA</v>
      </c>
      <c r="F126" t="str">
        <f>IFERROR(__xludf.DUMMYFUNCTION("""COMPUTED_VALUE"""),"MONTANI SRL")</f>
        <v>MONTANI SRL</v>
      </c>
      <c r="G126" t="str">
        <f>IFERROR(__xludf.DUMMYFUNCTION("""COMPUTED_VALUE"""),"VIA CASALE 26-27-28-29-30-31-")</f>
        <v>VIA CASALE 26-27-28-29-30-31-</v>
      </c>
      <c r="H126" t="str">
        <f>IFERROR(__xludf.DUMMYFUNCTION("""COMPUTED_VALUE"""),"Matera")</f>
        <v>Matera</v>
      </c>
      <c r="I126">
        <f>IFERROR(__xludf.DUMMYFUNCTION("""COMPUTED_VALUE"""),159.0)</f>
        <v>159</v>
      </c>
      <c r="J126">
        <f>IFERROR(__xludf.DUMMYFUNCTION("""COMPUTED_VALUE"""),1035.0)</f>
        <v>1035</v>
      </c>
      <c r="K126" t="str">
        <f>IFERROR(__xludf.DUMMYFUNCTION("""COMPUTED_VALUE"""),"Italy")</f>
        <v>Italy</v>
      </c>
      <c r="L126">
        <f>IFERROR(__xludf.DUMMYFUNCTION("""COMPUTED_VALUE"""),1.0)</f>
        <v>1</v>
      </c>
      <c r="M126">
        <f>IFERROR(__xludf.DUMMYFUNCTION("""COMPUTED_VALUE"""),19.0)</f>
        <v>19</v>
      </c>
      <c r="N126">
        <f>IFERROR(__xludf.DUMMYFUNCTION("""COMPUTED_VALUE"""),42944.0)</f>
        <v>42944</v>
      </c>
    </row>
    <row r="127">
      <c r="A127">
        <f>IFERROR(__xludf.DUMMYFUNCTION("""COMPUTED_VALUE"""),834.0)</f>
        <v>834</v>
      </c>
      <c r="B127">
        <f>IFERROR(__xludf.DUMMYFUNCTION("""COMPUTED_VALUE"""),40.6764233574066)</f>
        <v>40.67642336</v>
      </c>
      <c r="C127">
        <f>IFERROR(__xludf.DUMMYFUNCTION("""COMPUTED_VALUE"""),16.5721702343538)</f>
        <v>16.57217023</v>
      </c>
      <c r="D127" t="str">
        <f>IFERROR(__xludf.DUMMYFUNCTION("""COMPUTED_VALUE"""),"Affittacamere")</f>
        <v>Affittacamere</v>
      </c>
      <c r="E127" t="str">
        <f>IFERROR(__xludf.DUMMYFUNCTION("""COMPUTED_VALUE"""),"LATORRE  AFFITTACAMERE")</f>
        <v>LATORRE  AFFITTACAMERE</v>
      </c>
      <c r="F127" t="str">
        <f>IFERROR(__xludf.DUMMYFUNCTION("""COMPUTED_VALUE"""),"LATORRE ARTE sas")</f>
        <v>LATORRE ARTE sas</v>
      </c>
      <c r="G127" t="str">
        <f>IFERROR(__xludf.DUMMYFUNCTION("""COMPUTED_VALUE"""),"VIA DEL COMMERCIO 24")</f>
        <v>VIA DEL COMMERCIO 24</v>
      </c>
      <c r="H127" t="str">
        <f>IFERROR(__xludf.DUMMYFUNCTION("""COMPUTED_VALUE"""),"Matera")</f>
        <v>Matera</v>
      </c>
      <c r="I127">
        <f>IFERROR(__xludf.DUMMYFUNCTION("""COMPUTED_VALUE"""),67.0)</f>
        <v>67</v>
      </c>
      <c r="J127">
        <f>IFERROR(__xludf.DUMMYFUNCTION("""COMPUTED_VALUE"""),2086.0)</f>
        <v>2086</v>
      </c>
      <c r="K127" t="str">
        <f>IFERROR(__xludf.DUMMYFUNCTION("""COMPUTED_VALUE"""),"Italy")</f>
        <v>Italy</v>
      </c>
      <c r="L127" t="str">
        <f>IFERROR(__xludf.DUMMYFUNCTION("""COMPUTED_VALUE"""),"")</f>
        <v/>
      </c>
      <c r="M127">
        <f>IFERROR(__xludf.DUMMYFUNCTION("""COMPUTED_VALUE"""),9.0)</f>
        <v>9</v>
      </c>
      <c r="N127">
        <f>IFERROR(__xludf.DUMMYFUNCTION("""COMPUTED_VALUE"""),42998.0)</f>
        <v>42998</v>
      </c>
    </row>
    <row r="128">
      <c r="A128">
        <f>IFERROR(__xludf.DUMMYFUNCTION("""COMPUTED_VALUE"""),835.0)</f>
        <v>835</v>
      </c>
      <c r="B128">
        <f>IFERROR(__xludf.DUMMYFUNCTION("""COMPUTED_VALUE"""),40.6628572037551)</f>
        <v>40.6628572</v>
      </c>
      <c r="C128">
        <f>IFERROR(__xludf.DUMMYFUNCTION("""COMPUTED_VALUE"""),16.6089722801167)</f>
        <v>16.60897228</v>
      </c>
      <c r="D128" t="str">
        <f>IFERROR(__xludf.DUMMYFUNCTION("""COMPUTED_VALUE"""),"Affittacamere")</f>
        <v>Affittacamere</v>
      </c>
      <c r="E128" t="str">
        <f>IFERROR(__xludf.DUMMYFUNCTION("""COMPUTED_VALUE"""),"DIMORA FRANCESCA")</f>
        <v>DIMORA FRANCESCA</v>
      </c>
      <c r="F128" t="str">
        <f>IFERROR(__xludf.DUMMYFUNCTION("""COMPUTED_VALUE"""),"MAZZOCCOLI GIOVANNI PAOLO")</f>
        <v>MAZZOCCOLI GIOVANNI PAOLO</v>
      </c>
      <c r="G128" t="str">
        <f>IFERROR(__xludf.DUMMYFUNCTION("""COMPUTED_VALUE"""),"VICO DI VIA EMANUELE DUNI 7")</f>
        <v>VICO DI VIA EMANUELE DUNI 7</v>
      </c>
      <c r="H128" t="str">
        <f>IFERROR(__xludf.DUMMYFUNCTION("""COMPUTED_VALUE"""),"Matera")</f>
        <v>Matera</v>
      </c>
      <c r="I128">
        <f>IFERROR(__xludf.DUMMYFUNCTION("""COMPUTED_VALUE"""),159.0)</f>
        <v>159</v>
      </c>
      <c r="J128">
        <f>IFERROR(__xludf.DUMMYFUNCTION("""COMPUTED_VALUE"""),3007.0)</f>
        <v>3007</v>
      </c>
      <c r="K128" t="str">
        <f>IFERROR(__xludf.DUMMYFUNCTION("""COMPUTED_VALUE"""),"Italy")</f>
        <v>Italy</v>
      </c>
      <c r="L128">
        <f>IFERROR(__xludf.DUMMYFUNCTION("""COMPUTED_VALUE"""),13.0)</f>
        <v>13</v>
      </c>
      <c r="M128">
        <f>IFERROR(__xludf.DUMMYFUNCTION("""COMPUTED_VALUE"""),4.0)</f>
        <v>4</v>
      </c>
      <c r="N128">
        <f>IFERROR(__xludf.DUMMYFUNCTION("""COMPUTED_VALUE"""),43011.0)</f>
        <v>43011</v>
      </c>
    </row>
    <row r="129">
      <c r="A129">
        <f>IFERROR(__xludf.DUMMYFUNCTION("""COMPUTED_VALUE"""),836.0)</f>
        <v>836</v>
      </c>
      <c r="B129">
        <f>IFERROR(__xludf.DUMMYFUNCTION("""COMPUTED_VALUE"""),40.6703120693802)</f>
        <v>40.67031207</v>
      </c>
      <c r="C129">
        <f>IFERROR(__xludf.DUMMYFUNCTION("""COMPUTED_VALUE"""),16.6080397400379)</f>
        <v>16.60803974</v>
      </c>
      <c r="D129" t="str">
        <f>IFERROR(__xludf.DUMMYFUNCTION("""COMPUTED_VALUE"""),"Affittacamere")</f>
        <v>Affittacamere</v>
      </c>
      <c r="E129" t="str">
        <f>IFERROR(__xludf.DUMMYFUNCTION("""COMPUTED_VALUE"""),"MATER AQUAE")</f>
        <v>MATER AQUAE</v>
      </c>
      <c r="F129" t="str">
        <f>IFERROR(__xludf.DUMMYFUNCTION("""COMPUTED_VALUE"""),"BRUNA DI PELO")</f>
        <v>BRUNA DI PELO</v>
      </c>
      <c r="G129" t="str">
        <f>IFERROR(__xludf.DUMMYFUNCTION("""COMPUTED_VALUE"""),"VIA G.B. PENTASUGLIA  15")</f>
        <v>VIA G.B. PENTASUGLIA  15</v>
      </c>
      <c r="H129" t="str">
        <f>IFERROR(__xludf.DUMMYFUNCTION("""COMPUTED_VALUE"""),"Matera")</f>
        <v>Matera</v>
      </c>
      <c r="I129">
        <f>IFERROR(__xludf.DUMMYFUNCTION("""COMPUTED_VALUE"""),159.0)</f>
        <v>159</v>
      </c>
      <c r="J129">
        <f>IFERROR(__xludf.DUMMYFUNCTION("""COMPUTED_VALUE"""),3604.0)</f>
        <v>3604</v>
      </c>
      <c r="K129" t="str">
        <f>IFERROR(__xludf.DUMMYFUNCTION("""COMPUTED_VALUE"""),"Italy")</f>
        <v>Italy</v>
      </c>
      <c r="L129">
        <f>IFERROR(__xludf.DUMMYFUNCTION("""COMPUTED_VALUE"""),2.0)</f>
        <v>2</v>
      </c>
      <c r="M129">
        <f>IFERROR(__xludf.DUMMYFUNCTION("""COMPUTED_VALUE"""),8.0)</f>
        <v>8</v>
      </c>
      <c r="N129">
        <f>IFERROR(__xludf.DUMMYFUNCTION("""COMPUTED_VALUE"""),43076.0)</f>
        <v>43076</v>
      </c>
    </row>
    <row r="130">
      <c r="A130">
        <f>IFERROR(__xludf.DUMMYFUNCTION("""COMPUTED_VALUE"""),837.0)</f>
        <v>837</v>
      </c>
      <c r="B130">
        <f>IFERROR(__xludf.DUMMYFUNCTION("""COMPUTED_VALUE"""),40.6627930995619)</f>
        <v>40.6627931</v>
      </c>
      <c r="C130">
        <f>IFERROR(__xludf.DUMMYFUNCTION("""COMPUTED_VALUE"""),16.611604502995)</f>
        <v>16.6116045</v>
      </c>
      <c r="D130" t="str">
        <f>IFERROR(__xludf.DUMMYFUNCTION("""COMPUTED_VALUE"""),"Affittacamere")</f>
        <v>Affittacamere</v>
      </c>
      <c r="E130" t="str">
        <f>IFERROR(__xludf.DUMMYFUNCTION("""COMPUTED_VALUE"""),"COMERA")</f>
        <v>COMERA</v>
      </c>
      <c r="F130" t="str">
        <f>IFERROR(__xludf.DUMMYFUNCTION("""COMPUTED_VALUE"""),"MUSCARIDOLA COSTRUZIONI SRL")</f>
        <v>MUSCARIDOLA COSTRUZIONI SRL</v>
      </c>
      <c r="G130" t="str">
        <f>IFERROR(__xludf.DUMMYFUNCTION("""COMPUTED_VALUE"""),"N.D. CONCHE  20-21")</f>
        <v>N.D. CONCHE  20-21</v>
      </c>
      <c r="H130" t="str">
        <f>IFERROR(__xludf.DUMMYFUNCTION("""COMPUTED_VALUE"""),"Matera")</f>
        <v>Matera</v>
      </c>
      <c r="I130">
        <f>IFERROR(__xludf.DUMMYFUNCTION("""COMPUTED_VALUE"""),159.0)</f>
        <v>159</v>
      </c>
      <c r="J130">
        <f>IFERROR(__xludf.DUMMYFUNCTION("""COMPUTED_VALUE"""),2272.0)</f>
        <v>2272</v>
      </c>
      <c r="K130" t="str">
        <f>IFERROR(__xludf.DUMMYFUNCTION("""COMPUTED_VALUE"""),"Italy")</f>
        <v>Italy</v>
      </c>
      <c r="L130">
        <f>IFERROR(__xludf.DUMMYFUNCTION("""COMPUTED_VALUE"""),4.0)</f>
        <v>4</v>
      </c>
      <c r="M130">
        <f>IFERROR(__xludf.DUMMYFUNCTION("""COMPUTED_VALUE"""),15.0)</f>
        <v>15</v>
      </c>
      <c r="N130">
        <f>IFERROR(__xludf.DUMMYFUNCTION("""COMPUTED_VALUE"""),43160.0)</f>
        <v>43160</v>
      </c>
    </row>
    <row r="131">
      <c r="A131">
        <f>IFERROR(__xludf.DUMMYFUNCTION("""COMPUTED_VALUE"""),838.0)</f>
        <v>838</v>
      </c>
      <c r="B131">
        <f>IFERROR(__xludf.DUMMYFUNCTION("""COMPUTED_VALUE"""),40.6715014604954)</f>
        <v>40.67150146</v>
      </c>
      <c r="C131">
        <f>IFERROR(__xludf.DUMMYFUNCTION("""COMPUTED_VALUE"""),16.6051963787574)</f>
        <v>16.60519638</v>
      </c>
      <c r="D131" t="str">
        <f>IFERROR(__xludf.DUMMYFUNCTION("""COMPUTED_VALUE"""),"Affittacamere")</f>
        <v>Affittacamere</v>
      </c>
      <c r="E131" t="str">
        <f>IFERROR(__xludf.DUMMYFUNCTION("""COMPUTED_VALUE"""),"IN DIES")</f>
        <v>IN DIES</v>
      </c>
      <c r="F131" t="str">
        <f>IFERROR(__xludf.DUMMYFUNCTION("""COMPUTED_VALUE"""),"CHIETERA MARIO")</f>
        <v>CHIETERA MARIO</v>
      </c>
      <c r="G131" t="str">
        <f>IFERROR(__xludf.DUMMYFUNCTION("""COMPUTED_VALUE"""),"PIA.ZZ.TTA SINISGALLI 15")</f>
        <v>PIA.ZZ.TTA SINISGALLI 15</v>
      </c>
      <c r="H131" t="str">
        <f>IFERROR(__xludf.DUMMYFUNCTION("""COMPUTED_VALUE"""),"Matera")</f>
        <v>Matera</v>
      </c>
      <c r="I131">
        <f>IFERROR(__xludf.DUMMYFUNCTION("""COMPUTED_VALUE"""),159.0)</f>
        <v>159</v>
      </c>
      <c r="J131">
        <f>IFERROR(__xludf.DUMMYFUNCTION("""COMPUTED_VALUE"""),5223.0)</f>
        <v>5223</v>
      </c>
      <c r="K131" t="str">
        <f>IFERROR(__xludf.DUMMYFUNCTION("""COMPUTED_VALUE"""),"Italy")</f>
        <v>Italy</v>
      </c>
      <c r="L131">
        <f>IFERROR(__xludf.DUMMYFUNCTION("""COMPUTED_VALUE"""),44.0)</f>
        <v>44</v>
      </c>
      <c r="M131">
        <f>IFERROR(__xludf.DUMMYFUNCTION("""COMPUTED_VALUE"""),11.0)</f>
        <v>11</v>
      </c>
      <c r="N131">
        <f>IFERROR(__xludf.DUMMYFUNCTION("""COMPUTED_VALUE"""),43091.0)</f>
        <v>43091</v>
      </c>
    </row>
    <row r="132">
      <c r="A132">
        <f>IFERROR(__xludf.DUMMYFUNCTION("""COMPUTED_VALUE"""),844.0)</f>
        <v>844</v>
      </c>
      <c r="B132">
        <f>IFERROR(__xludf.DUMMYFUNCTION("""COMPUTED_VALUE"""),40.6658105695512)</f>
        <v>40.66581057</v>
      </c>
      <c r="C132">
        <f>IFERROR(__xludf.DUMMYFUNCTION("""COMPUTED_VALUE"""),16.6044763744598)</f>
        <v>16.60447637</v>
      </c>
      <c r="D132" t="str">
        <f>IFERROR(__xludf.DUMMYFUNCTION("""COMPUTED_VALUE"""),"Affittacamere")</f>
        <v>Affittacamere</v>
      </c>
      <c r="E132" t="str">
        <f>IFERROR(__xludf.DUMMYFUNCTION("""COMPUTED_VALUE"""),"CENTRAL HOUSE")</f>
        <v>CENTRAL HOUSE</v>
      </c>
      <c r="F132" t="str">
        <f>IFERROR(__xludf.DUMMYFUNCTION("""COMPUTED_VALUE"""),"GBM TOURISM SRL")</f>
        <v>GBM TOURISM SRL</v>
      </c>
      <c r="G132" t="str">
        <f>IFERROR(__xludf.DUMMYFUNCTION("""COMPUTED_VALUE"""),"P.ZZA MULINO 19")</f>
        <v>P.ZZA MULINO 19</v>
      </c>
      <c r="H132" t="str">
        <f>IFERROR(__xludf.DUMMYFUNCTION("""COMPUTED_VALUE"""),"Matera ")</f>
        <v>Matera </v>
      </c>
      <c r="I132">
        <f>IFERROR(__xludf.DUMMYFUNCTION("""COMPUTED_VALUE"""),71.0)</f>
        <v>71</v>
      </c>
      <c r="J132">
        <f>IFERROR(__xludf.DUMMYFUNCTION("""COMPUTED_VALUE"""),1630.0)</f>
        <v>1630</v>
      </c>
      <c r="K132" t="str">
        <f>IFERROR(__xludf.DUMMYFUNCTION("""COMPUTED_VALUE"""),"Italy")</f>
        <v>Italy</v>
      </c>
      <c r="L132">
        <f>IFERROR(__xludf.DUMMYFUNCTION("""COMPUTED_VALUE"""),71.0)</f>
        <v>71</v>
      </c>
      <c r="M132">
        <f>IFERROR(__xludf.DUMMYFUNCTION("""COMPUTED_VALUE"""),4.0)</f>
        <v>4</v>
      </c>
      <c r="N132">
        <f>IFERROR(__xludf.DUMMYFUNCTION("""COMPUTED_VALUE"""),42681.0)</f>
        <v>42681</v>
      </c>
    </row>
    <row r="133">
      <c r="A133">
        <f>IFERROR(__xludf.DUMMYFUNCTION("""COMPUTED_VALUE"""),846.0)</f>
        <v>846</v>
      </c>
      <c r="B133">
        <f>IFERROR(__xludf.DUMMYFUNCTION("""COMPUTED_VALUE"""),40.7052342496678)</f>
        <v>40.70523425</v>
      </c>
      <c r="C133">
        <f>IFERROR(__xludf.DUMMYFUNCTION("""COMPUTED_VALUE"""),16.5845137073611)</f>
        <v>16.58451371</v>
      </c>
      <c r="D133" t="str">
        <f>IFERROR(__xludf.DUMMYFUNCTION("""COMPUTED_VALUE"""),"Affittacamere")</f>
        <v>Affittacamere</v>
      </c>
      <c r="E133" t="str">
        <f>IFERROR(__xludf.DUMMYFUNCTION("""COMPUTED_VALUE"""),"NOLE' ROOMS")</f>
        <v>NOLE' ROOMS</v>
      </c>
      <c r="F133" t="str">
        <f>IFERROR(__xludf.DUMMYFUNCTION("""COMPUTED_VALUE"""),"AUTOLINEE NOLE' SRL")</f>
        <v>AUTOLINEE NOLE' SRL</v>
      </c>
      <c r="G133" t="str">
        <f>IFERROR(__xludf.DUMMYFUNCTION("""COMPUTED_VALUE"""),"CONTRADA RONDINELLE")</f>
        <v>CONTRADA RONDINELLE</v>
      </c>
      <c r="H133" t="str">
        <f>IFERROR(__xludf.DUMMYFUNCTION("""COMPUTED_VALUE"""),"Matera")</f>
        <v>Matera</v>
      </c>
      <c r="I133">
        <f>IFERROR(__xludf.DUMMYFUNCTION("""COMPUTED_VALUE"""),31.0)</f>
        <v>31</v>
      </c>
      <c r="J133">
        <f>IFERROR(__xludf.DUMMYFUNCTION("""COMPUTED_VALUE"""),492.0)</f>
        <v>492</v>
      </c>
      <c r="K133" t="str">
        <f>IFERROR(__xludf.DUMMYFUNCTION("""COMPUTED_VALUE"""),"Italy")</f>
        <v>Italy</v>
      </c>
      <c r="L133">
        <f>IFERROR(__xludf.DUMMYFUNCTION("""COMPUTED_VALUE"""),3.0)</f>
        <v>3</v>
      </c>
      <c r="M133">
        <f>IFERROR(__xludf.DUMMYFUNCTION("""COMPUTED_VALUE"""),6.0)</f>
        <v>6</v>
      </c>
      <c r="N133">
        <f>IFERROR(__xludf.DUMMYFUNCTION("""COMPUTED_VALUE"""),42711.0)</f>
        <v>42711</v>
      </c>
    </row>
    <row r="134">
      <c r="A134">
        <f>IFERROR(__xludf.DUMMYFUNCTION("""COMPUTED_VALUE"""),847.0)</f>
        <v>847</v>
      </c>
      <c r="B134">
        <f>IFERROR(__xludf.DUMMYFUNCTION("""COMPUTED_VALUE"""),40.6647963109985)</f>
        <v>40.66479631</v>
      </c>
      <c r="C134">
        <f>IFERROR(__xludf.DUMMYFUNCTION("""COMPUTED_VALUE"""),16.6021747301965)</f>
        <v>16.60217473</v>
      </c>
      <c r="D134" t="str">
        <f>IFERROR(__xludf.DUMMYFUNCTION("""COMPUTED_VALUE"""),"Affittacamere")</f>
        <v>Affittacamere</v>
      </c>
      <c r="E134" t="str">
        <f>IFERROR(__xludf.DUMMYFUNCTION("""COMPUTED_VALUE"""),"SONOHRA")</f>
        <v>SONOHRA</v>
      </c>
      <c r="F134" t="str">
        <f>IFERROR(__xludf.DUMMYFUNCTION("""COMPUTED_VALUE"""),"VELVET DI GRIECO ANNA MARIA")</f>
        <v>VELVET DI GRIECO ANNA MARIA</v>
      </c>
      <c r="G134" t="str">
        <f>IFERROR(__xludf.DUMMYFUNCTION("""COMPUTED_VALUE"""),"VICO II PASSARELLI 7")</f>
        <v>VICO II PASSARELLI 7</v>
      </c>
      <c r="H134" t="str">
        <f>IFERROR(__xludf.DUMMYFUNCTION("""COMPUTED_VALUE"""),"Matera")</f>
        <v>Matera</v>
      </c>
      <c r="I134">
        <f>IFERROR(__xludf.DUMMYFUNCTION("""COMPUTED_VALUE"""),71.0)</f>
        <v>71</v>
      </c>
      <c r="J134">
        <f>IFERROR(__xludf.DUMMYFUNCTION("""COMPUTED_VALUE"""),335.0)</f>
        <v>335</v>
      </c>
      <c r="K134" t="str">
        <f>IFERROR(__xludf.DUMMYFUNCTION("""COMPUTED_VALUE"""),"Italy")</f>
        <v>Italy</v>
      </c>
      <c r="L134">
        <f>IFERROR(__xludf.DUMMYFUNCTION("""COMPUTED_VALUE"""),7.0)</f>
        <v>7</v>
      </c>
      <c r="M134">
        <f>IFERROR(__xludf.DUMMYFUNCTION("""COMPUTED_VALUE"""),4.0)</f>
        <v>4</v>
      </c>
      <c r="N134">
        <f>IFERROR(__xludf.DUMMYFUNCTION("""COMPUTED_VALUE"""),43152.0)</f>
        <v>43152</v>
      </c>
    </row>
    <row r="135">
      <c r="A135">
        <f>IFERROR(__xludf.DUMMYFUNCTION("""COMPUTED_VALUE"""),848.0)</f>
        <v>848</v>
      </c>
      <c r="B135">
        <f>IFERROR(__xludf.DUMMYFUNCTION("""COMPUTED_VALUE"""),40.6658977440062)</f>
        <v>40.66589774</v>
      </c>
      <c r="C135">
        <f>IFERROR(__xludf.DUMMYFUNCTION("""COMPUTED_VALUE"""),16.6114550410263)</f>
        <v>16.61145504</v>
      </c>
      <c r="D135" t="str">
        <f>IFERROR(__xludf.DUMMYFUNCTION("""COMPUTED_VALUE"""),"Affittacamere")</f>
        <v>Affittacamere</v>
      </c>
      <c r="E135" t="str">
        <f>IFERROR(__xludf.DUMMYFUNCTION("""COMPUTED_VALUE"""),"LA CASA DI NADI'")</f>
        <v>LA CASA DI NADI'</v>
      </c>
      <c r="F135" t="str">
        <f>IFERROR(__xludf.DUMMYFUNCTION("""COMPUTED_VALUE"""),"BIANCHI GIUSEPPE")</f>
        <v>BIANCHI GIUSEPPE</v>
      </c>
      <c r="G135" t="str">
        <f>IFERROR(__xludf.DUMMYFUNCTION("""COMPUTED_VALUE"""),"SALITA CASTELVECCHIO 4")</f>
        <v>SALITA CASTELVECCHIO 4</v>
      </c>
      <c r="H135" t="str">
        <f>IFERROR(__xludf.DUMMYFUNCTION("""COMPUTED_VALUE"""),"Matera")</f>
        <v>Matera</v>
      </c>
      <c r="I135">
        <f>IFERROR(__xludf.DUMMYFUNCTION("""COMPUTED_VALUE"""),159.0)</f>
        <v>159</v>
      </c>
      <c r="J135">
        <f>IFERROR(__xludf.DUMMYFUNCTION("""COMPUTED_VALUE"""),1518.0)</f>
        <v>1518</v>
      </c>
      <c r="K135" t="str">
        <f>IFERROR(__xludf.DUMMYFUNCTION("""COMPUTED_VALUE"""),"Italy")</f>
        <v>Italy</v>
      </c>
      <c r="L135">
        <f>IFERROR(__xludf.DUMMYFUNCTION("""COMPUTED_VALUE"""),9.0)</f>
        <v>9</v>
      </c>
      <c r="M135">
        <f>IFERROR(__xludf.DUMMYFUNCTION("""COMPUTED_VALUE"""),10.0)</f>
        <v>10</v>
      </c>
      <c r="N135">
        <f>IFERROR(__xludf.DUMMYFUNCTION("""COMPUTED_VALUE"""),43100.0)</f>
        <v>43100</v>
      </c>
    </row>
    <row r="136">
      <c r="A136">
        <f>IFERROR(__xludf.DUMMYFUNCTION("""COMPUTED_VALUE"""),849.0)</f>
        <v>849</v>
      </c>
      <c r="B136">
        <f>IFERROR(__xludf.DUMMYFUNCTION("""COMPUTED_VALUE"""),40.6646738419603)</f>
        <v>40.66467384</v>
      </c>
      <c r="C136">
        <f>IFERROR(__xludf.DUMMYFUNCTION("""COMPUTED_VALUE"""),16.610248663527)</f>
        <v>16.61024866</v>
      </c>
      <c r="D136" t="str">
        <f>IFERROR(__xludf.DUMMYFUNCTION("""COMPUTED_VALUE"""),"Affittacamere")</f>
        <v>Affittacamere</v>
      </c>
      <c r="E136" t="str">
        <f>IFERROR(__xludf.DUMMYFUNCTION("""COMPUTED_VALUE"""),"LE TRE VIE DI MARIANGELA TARASCO")</f>
        <v>LE TRE VIE DI MARIANGELA TARASCO</v>
      </c>
      <c r="F136" t="str">
        <f>IFERROR(__xludf.DUMMYFUNCTION("""COMPUTED_VALUE"""),"MARIANGELA TARASCO")</f>
        <v>MARIANGELA TARASCO</v>
      </c>
      <c r="G136" t="str">
        <f>IFERROR(__xludf.DUMMYFUNCTION("""COMPUTED_VALUE"""),"VIA SAN PIETRO CAVEOSO 34")</f>
        <v>VIA SAN PIETRO CAVEOSO 34</v>
      </c>
      <c r="H136" t="str">
        <f>IFERROR(__xludf.DUMMYFUNCTION("""COMPUTED_VALUE"""),"Matera")</f>
        <v>Matera</v>
      </c>
      <c r="I136">
        <f>IFERROR(__xludf.DUMMYFUNCTION("""COMPUTED_VALUE"""),159.0)</f>
        <v>159</v>
      </c>
      <c r="J136">
        <f>IFERROR(__xludf.DUMMYFUNCTION("""COMPUTED_VALUE"""),1772.0)</f>
        <v>1772</v>
      </c>
      <c r="K136" t="str">
        <f>IFERROR(__xludf.DUMMYFUNCTION("""COMPUTED_VALUE"""),"Italy")</f>
        <v>Italy</v>
      </c>
      <c r="L136">
        <f>IFERROR(__xludf.DUMMYFUNCTION("""COMPUTED_VALUE"""),7.0)</f>
        <v>7</v>
      </c>
      <c r="M136">
        <f>IFERROR(__xludf.DUMMYFUNCTION("""COMPUTED_VALUE"""),6.0)</f>
        <v>6</v>
      </c>
      <c r="N136">
        <f>IFERROR(__xludf.DUMMYFUNCTION("""COMPUTED_VALUE"""),43165.0)</f>
        <v>43165</v>
      </c>
    </row>
    <row r="137">
      <c r="A137">
        <f>IFERROR(__xludf.DUMMYFUNCTION("""COMPUTED_VALUE"""),850.0)</f>
        <v>850</v>
      </c>
      <c r="B137">
        <f>IFERROR(__xludf.DUMMYFUNCTION("""COMPUTED_VALUE"""),40.668217140292)</f>
        <v>40.66821714</v>
      </c>
      <c r="C137">
        <f>IFERROR(__xludf.DUMMYFUNCTION("""COMPUTED_VALUE"""),16.6094514659279)</f>
        <v>16.60945147</v>
      </c>
      <c r="D137" t="str">
        <f>IFERROR(__xludf.DUMMYFUNCTION("""COMPUTED_VALUE"""),"Affittacamere")</f>
        <v>Affittacamere</v>
      </c>
      <c r="E137" t="str">
        <f>IFERROR(__xludf.DUMMYFUNCTION("""COMPUTED_VALUE"""),"PIETRAGIALLA")</f>
        <v>PIETRAGIALLA</v>
      </c>
      <c r="F137" t="str">
        <f>IFERROR(__xludf.DUMMYFUNCTION("""COMPUTED_VALUE"""),"SABINO GIACOMO")</f>
        <v>SABINO GIACOMO</v>
      </c>
      <c r="G137" t="str">
        <f>IFERROR(__xludf.DUMMYFUNCTION("""COMPUTED_VALUE"""),"VIA D'ADDOZIO 94")</f>
        <v>VIA D'ADDOZIO 94</v>
      </c>
      <c r="H137" t="str">
        <f>IFERROR(__xludf.DUMMYFUNCTION("""COMPUTED_VALUE"""),"Matera")</f>
        <v>Matera</v>
      </c>
      <c r="I137">
        <f>IFERROR(__xludf.DUMMYFUNCTION("""COMPUTED_VALUE"""),159.0)</f>
        <v>159</v>
      </c>
      <c r="J137">
        <f>IFERROR(__xludf.DUMMYFUNCTION("""COMPUTED_VALUE"""),241.0)</f>
        <v>241</v>
      </c>
      <c r="K137" t="str">
        <f>IFERROR(__xludf.DUMMYFUNCTION("""COMPUTED_VALUE"""),"Italy")</f>
        <v>Italy</v>
      </c>
      <c r="L137">
        <f>IFERROR(__xludf.DUMMYFUNCTION("""COMPUTED_VALUE"""),5.0)</f>
        <v>5</v>
      </c>
      <c r="M137">
        <f>IFERROR(__xludf.DUMMYFUNCTION("""COMPUTED_VALUE"""),9.0)</f>
        <v>9</v>
      </c>
      <c r="N137">
        <f>IFERROR(__xludf.DUMMYFUNCTION("""COMPUTED_VALUE"""),43104.0)</f>
        <v>43104</v>
      </c>
    </row>
    <row r="138">
      <c r="A138">
        <f>IFERROR(__xludf.DUMMYFUNCTION("""COMPUTED_VALUE"""),852.0)</f>
        <v>852</v>
      </c>
      <c r="B138">
        <f>IFERROR(__xludf.DUMMYFUNCTION("""COMPUTED_VALUE"""),40.6703120693802)</f>
        <v>40.67031207</v>
      </c>
      <c r="C138">
        <f>IFERROR(__xludf.DUMMYFUNCTION("""COMPUTED_VALUE"""),16.6080397400379)</f>
        <v>16.60803974</v>
      </c>
      <c r="D138" t="str">
        <f>IFERROR(__xludf.DUMMYFUNCTION("""COMPUTED_VALUE"""),"Affittacamere")</f>
        <v>Affittacamere</v>
      </c>
      <c r="E138" t="str">
        <f>IFERROR(__xludf.DUMMYFUNCTION("""COMPUTED_VALUE"""),"HAPPY APARTMENTS")</f>
        <v>HAPPY APARTMENTS</v>
      </c>
      <c r="F138" t="str">
        <f>IFERROR(__xludf.DUMMYFUNCTION("""COMPUTED_VALUE"""),"CASTRIA GIUSEPPE")</f>
        <v>CASTRIA GIUSEPPE</v>
      </c>
      <c r="G138" t="str">
        <f>IFERROR(__xludf.DUMMYFUNCTION("""COMPUTED_VALUE"""),"VIA PENTASUGLIA 11")</f>
        <v>VIA PENTASUGLIA 11</v>
      </c>
      <c r="H138" t="str">
        <f>IFERROR(__xludf.DUMMYFUNCTION("""COMPUTED_VALUE"""),"Matera")</f>
        <v>Matera</v>
      </c>
      <c r="I138">
        <f>IFERROR(__xludf.DUMMYFUNCTION("""COMPUTED_VALUE"""),159.0)</f>
        <v>159</v>
      </c>
      <c r="J138">
        <f>IFERROR(__xludf.DUMMYFUNCTION("""COMPUTED_VALUE"""),3604.0)</f>
        <v>3604</v>
      </c>
      <c r="K138" t="str">
        <f>IFERROR(__xludf.DUMMYFUNCTION("""COMPUTED_VALUE"""),"Italy")</f>
        <v>Italy</v>
      </c>
      <c r="L138">
        <f>IFERROR(__xludf.DUMMYFUNCTION("""COMPUTED_VALUE"""),15.0)</f>
        <v>15</v>
      </c>
      <c r="M138">
        <f>IFERROR(__xludf.DUMMYFUNCTION("""COMPUTED_VALUE"""),5.0)</f>
        <v>5</v>
      </c>
      <c r="N138">
        <f>IFERROR(__xludf.DUMMYFUNCTION("""COMPUTED_VALUE"""),43174.0)</f>
        <v>43174</v>
      </c>
    </row>
    <row r="139">
      <c r="A139">
        <f>IFERROR(__xludf.DUMMYFUNCTION("""COMPUTED_VALUE"""),853.0)</f>
        <v>853</v>
      </c>
      <c r="B139">
        <f>IFERROR(__xludf.DUMMYFUNCTION("""COMPUTED_VALUE"""),40.665936555292)</f>
        <v>40.66593656</v>
      </c>
      <c r="C139">
        <f>IFERROR(__xludf.DUMMYFUNCTION("""COMPUTED_VALUE"""),16.6097505795765)</f>
        <v>16.60975058</v>
      </c>
      <c r="D139" t="str">
        <f>IFERROR(__xludf.DUMMYFUNCTION("""COMPUTED_VALUE"""),"Affittacamere")</f>
        <v>Affittacamere</v>
      </c>
      <c r="E139" t="str">
        <f>IFERROR(__xludf.DUMMYFUNCTION("""COMPUTED_VALUE"""),"DIMORA DEL CAMPO- GUEST HOUSE")</f>
        <v>DIMORA DEL CAMPO- GUEST HOUSE</v>
      </c>
      <c r="F139" t="str">
        <f>IFERROR(__xludf.DUMMYFUNCTION("""COMPUTED_VALUE"""),"PASSARELLI CARLA  MARIA ROSARIA")</f>
        <v>PASSARELLI CARLA  MARIA ROSARIA</v>
      </c>
      <c r="G139" t="str">
        <f>IFERROR(__xludf.DUMMYFUNCTION("""COMPUTED_VALUE"""),"PIAZZA SEDILE 17")</f>
        <v>PIAZZA SEDILE 17</v>
      </c>
      <c r="H139" t="str">
        <f>IFERROR(__xludf.DUMMYFUNCTION("""COMPUTED_VALUE"""),"Matera")</f>
        <v>Matera</v>
      </c>
      <c r="I139">
        <f>IFERROR(__xludf.DUMMYFUNCTION("""COMPUTED_VALUE"""),159.0)</f>
        <v>159</v>
      </c>
      <c r="J139">
        <f>IFERROR(__xludf.DUMMYFUNCTION("""COMPUTED_VALUE"""),754.0)</f>
        <v>754</v>
      </c>
      <c r="K139" t="str">
        <f>IFERROR(__xludf.DUMMYFUNCTION("""COMPUTED_VALUE"""),"Italy")</f>
        <v>Italy</v>
      </c>
      <c r="L139">
        <f>IFERROR(__xludf.DUMMYFUNCTION("""COMPUTED_VALUE"""),12.0)</f>
        <v>12</v>
      </c>
      <c r="M139">
        <f>IFERROR(__xludf.DUMMYFUNCTION("""COMPUTED_VALUE"""),5.0)</f>
        <v>5</v>
      </c>
      <c r="N139">
        <f>IFERROR(__xludf.DUMMYFUNCTION("""COMPUTED_VALUE"""),43256.0)</f>
        <v>43256</v>
      </c>
    </row>
    <row r="140">
      <c r="A140">
        <f>IFERROR(__xludf.DUMMYFUNCTION("""COMPUTED_VALUE"""),854.0)</f>
        <v>854</v>
      </c>
      <c r="B140">
        <f>IFERROR(__xludf.DUMMYFUNCTION("""COMPUTED_VALUE"""),40.667000428943)</f>
        <v>40.66700043</v>
      </c>
      <c r="C140">
        <f>IFERROR(__xludf.DUMMYFUNCTION("""COMPUTED_VALUE"""),16.610471539136)</f>
        <v>16.61047154</v>
      </c>
      <c r="D140" t="str">
        <f>IFERROR(__xludf.DUMMYFUNCTION("""COMPUTED_VALUE"""),"Affittacamere")</f>
        <v>Affittacamere</v>
      </c>
      <c r="E140" t="str">
        <f>IFERROR(__xludf.DUMMYFUNCTION("""COMPUTED_VALUE"""),"AI MAESTRI ROOMS &amp; CAFFE'")</f>
        <v>AI MAESTRI ROOMS &amp; CAFFE'</v>
      </c>
      <c r="F140" t="str">
        <f>IFERROR(__xludf.DUMMYFUNCTION("""COMPUTED_VALUE"""),"MADE SNC DI GIASI MADDALENA &amp; C.")</f>
        <v>MADE SNC DI GIASI MADDALENA &amp; C.</v>
      </c>
      <c r="G140" t="str">
        <f>IFERROR(__xludf.DUMMYFUNCTION("""COMPUTED_VALUE"""),"VIA SETTE DOLORI 58-62-64")</f>
        <v>VIA SETTE DOLORI 58-62-64</v>
      </c>
      <c r="H140" t="str">
        <f>IFERROR(__xludf.DUMMYFUNCTION("""COMPUTED_VALUE"""),"Matera")</f>
        <v>Matera</v>
      </c>
      <c r="I140">
        <f>IFERROR(__xludf.DUMMYFUNCTION("""COMPUTED_VALUE"""),159.0)</f>
        <v>159</v>
      </c>
      <c r="J140">
        <f>IFERROR(__xludf.DUMMYFUNCTION("""COMPUTED_VALUE"""),872.0)</f>
        <v>872</v>
      </c>
      <c r="K140" t="str">
        <f>IFERROR(__xludf.DUMMYFUNCTION("""COMPUTED_VALUE"""),"Italy")</f>
        <v>Italy</v>
      </c>
      <c r="L140">
        <f>IFERROR(__xludf.DUMMYFUNCTION("""COMPUTED_VALUE"""),1.0)</f>
        <v>1</v>
      </c>
      <c r="M140">
        <f>IFERROR(__xludf.DUMMYFUNCTION("""COMPUTED_VALUE"""),9.0)</f>
        <v>9</v>
      </c>
      <c r="N140">
        <f>IFERROR(__xludf.DUMMYFUNCTION("""COMPUTED_VALUE"""),43265.0)</f>
        <v>43265</v>
      </c>
    </row>
    <row r="141">
      <c r="A141">
        <f>IFERROR(__xludf.DUMMYFUNCTION("""COMPUTED_VALUE"""),855.0)</f>
        <v>855</v>
      </c>
      <c r="B141">
        <f>IFERROR(__xludf.DUMMYFUNCTION("""COMPUTED_VALUE"""),40.668019685333)</f>
        <v>40.66801969</v>
      </c>
      <c r="C141">
        <f>IFERROR(__xludf.DUMMYFUNCTION("""COMPUTED_VALUE"""),16.6096797294613)</f>
        <v>16.60967973</v>
      </c>
      <c r="D141" t="str">
        <f>IFERROR(__xludf.DUMMYFUNCTION("""COMPUTED_VALUE"""),"Affittacamere")</f>
        <v>Affittacamere</v>
      </c>
      <c r="E141" t="str">
        <f>IFERROR(__xludf.DUMMYFUNCTION("""COMPUTED_VALUE"""),"AI TERRAZZINI")</f>
        <v>AI TERRAZZINI</v>
      </c>
      <c r="F141" t="str">
        <f>IFERROR(__xludf.DUMMYFUNCTION("""COMPUTED_VALUE"""),"VALENTINA VERRASCINA &amp;C SAS")</f>
        <v>VALENTINA VERRASCINA &amp;C SAS</v>
      </c>
      <c r="G141" t="str">
        <f>IFERROR(__xludf.DUMMYFUNCTION("""COMPUTED_VALUE"""),"VIA D'ADDOZIO 141")</f>
        <v>VIA D'ADDOZIO 141</v>
      </c>
      <c r="H141" t="str">
        <f>IFERROR(__xludf.DUMMYFUNCTION("""COMPUTED_VALUE"""),"Matera")</f>
        <v>Matera</v>
      </c>
      <c r="I141">
        <f>IFERROR(__xludf.DUMMYFUNCTION("""COMPUTED_VALUE"""),159.0)</f>
        <v>159</v>
      </c>
      <c r="J141">
        <f>IFERROR(__xludf.DUMMYFUNCTION("""COMPUTED_VALUE"""),274.0)</f>
        <v>274</v>
      </c>
      <c r="K141" t="str">
        <f>IFERROR(__xludf.DUMMYFUNCTION("""COMPUTED_VALUE"""),"Italy")</f>
        <v>Italy</v>
      </c>
      <c r="L141">
        <f>IFERROR(__xludf.DUMMYFUNCTION("""COMPUTED_VALUE"""),1.0)</f>
        <v>1</v>
      </c>
      <c r="M141">
        <f>IFERROR(__xludf.DUMMYFUNCTION("""COMPUTED_VALUE"""),18.0)</f>
        <v>18</v>
      </c>
      <c r="N141">
        <f>IFERROR(__xludf.DUMMYFUNCTION("""COMPUTED_VALUE"""),43276.0)</f>
        <v>43276</v>
      </c>
    </row>
    <row r="142">
      <c r="A142">
        <f>IFERROR(__xludf.DUMMYFUNCTION("""COMPUTED_VALUE"""),856.0)</f>
        <v>856</v>
      </c>
      <c r="B142">
        <f>IFERROR(__xludf.DUMMYFUNCTION("""COMPUTED_VALUE"""),40.6669104827808)</f>
        <v>40.66691048</v>
      </c>
      <c r="C142">
        <f>IFERROR(__xludf.DUMMYFUNCTION("""COMPUTED_VALUE"""),16.6080207015195)</f>
        <v>16.6080207</v>
      </c>
      <c r="D142" t="str">
        <f>IFERROR(__xludf.DUMMYFUNCTION("""COMPUTED_VALUE"""),"Affittacamere")</f>
        <v>Affittacamere</v>
      </c>
      <c r="E142" t="str">
        <f>IFERROR(__xludf.DUMMYFUNCTION("""COMPUTED_VALUE"""),"L'ABBRACCIO DEI SASSI")</f>
        <v>L'ABBRACCIO DEI SASSI</v>
      </c>
      <c r="F142" t="str">
        <f>IFERROR(__xludf.DUMMYFUNCTION("""COMPUTED_VALUE"""),"PIGRECO DI GRECO PATRIZIA")</f>
        <v>PIGRECO DI GRECO PATRIZIA</v>
      </c>
      <c r="G142" t="str">
        <f>IFERROR(__xludf.DUMMYFUNCTION("""COMPUTED_VALUE"""),"VIA FORNACI VECCHIE")</f>
        <v>VIA FORNACI VECCHIE</v>
      </c>
      <c r="H142" t="str">
        <f>IFERROR(__xludf.DUMMYFUNCTION("""COMPUTED_VALUE"""),"Matera")</f>
        <v>Matera</v>
      </c>
      <c r="I142">
        <f>IFERROR(__xludf.DUMMYFUNCTION("""COMPUTED_VALUE"""),159.0)</f>
        <v>159</v>
      </c>
      <c r="J142">
        <f>IFERROR(__xludf.DUMMYFUNCTION("""COMPUTED_VALUE"""),578.0)</f>
        <v>578</v>
      </c>
      <c r="K142" t="str">
        <f>IFERROR(__xludf.DUMMYFUNCTION("""COMPUTED_VALUE"""),"Italy")</f>
        <v>Italy</v>
      </c>
      <c r="L142">
        <f>IFERROR(__xludf.DUMMYFUNCTION("""COMPUTED_VALUE"""),6.0)</f>
        <v>6</v>
      </c>
      <c r="M142">
        <f>IFERROR(__xludf.DUMMYFUNCTION("""COMPUTED_VALUE"""),6.0)</f>
        <v>6</v>
      </c>
      <c r="N142">
        <f>IFERROR(__xludf.DUMMYFUNCTION("""COMPUTED_VALUE"""),43280.0)</f>
        <v>43280</v>
      </c>
    </row>
    <row r="143">
      <c r="A143">
        <f>IFERROR(__xludf.DUMMYFUNCTION("""COMPUTED_VALUE"""),857.0)</f>
        <v>857</v>
      </c>
      <c r="B143">
        <f>IFERROR(__xludf.DUMMYFUNCTION("""COMPUTED_VALUE"""),40.6683676609379)</f>
        <v>40.66836766</v>
      </c>
      <c r="C143">
        <f>IFERROR(__xludf.DUMMYFUNCTION("""COMPUTED_VALUE"""),16.6037258664874)</f>
        <v>16.60372587</v>
      </c>
      <c r="D143" t="str">
        <f>IFERROR(__xludf.DUMMYFUNCTION("""COMPUTED_VALUE"""),"Affittacamere")</f>
        <v>Affittacamere</v>
      </c>
      <c r="E143" t="str">
        <f>IFERROR(__xludf.DUMMYFUNCTION("""COMPUTED_VALUE"""),"LO STRAZZO")</f>
        <v>LO STRAZZO</v>
      </c>
      <c r="F143" t="str">
        <f>IFERROR(__xludf.DUMMYFUNCTION("""COMPUTED_VALUE"""),"ZITO MARIAGRAZIA")</f>
        <v>ZITO MARIAGRAZIA</v>
      </c>
      <c r="G143" t="str">
        <f>IFERROR(__xludf.DUMMYFUNCTION("""COMPUTED_VALUE"""),"VIA DE SARIIS 43")</f>
        <v>VIA DE SARIIS 43</v>
      </c>
      <c r="H143" t="str">
        <f>IFERROR(__xludf.DUMMYFUNCTION("""COMPUTED_VALUE"""),"Matera")</f>
        <v>Matera</v>
      </c>
      <c r="I143">
        <f>IFERROR(__xludf.DUMMYFUNCTION("""COMPUTED_VALUE"""),159.0)</f>
        <v>159</v>
      </c>
      <c r="J143">
        <f>IFERROR(__xludf.DUMMYFUNCTION("""COMPUTED_VALUE"""),3735.0)</f>
        <v>3735</v>
      </c>
      <c r="K143" t="str">
        <f>IFERROR(__xludf.DUMMYFUNCTION("""COMPUTED_VALUE"""),"Italy")</f>
        <v>Italy</v>
      </c>
      <c r="L143">
        <f>IFERROR(__xludf.DUMMYFUNCTION("""COMPUTED_VALUE"""),15.0)</f>
        <v>15</v>
      </c>
      <c r="M143">
        <f>IFERROR(__xludf.DUMMYFUNCTION("""COMPUTED_VALUE"""),10.0)</f>
        <v>10</v>
      </c>
      <c r="N143">
        <f>IFERROR(__xludf.DUMMYFUNCTION("""COMPUTED_VALUE"""),43280.0)</f>
        <v>43280</v>
      </c>
    </row>
    <row r="144">
      <c r="A144">
        <f>IFERROR(__xludf.DUMMYFUNCTION("""COMPUTED_VALUE"""),858.0)</f>
        <v>858</v>
      </c>
      <c r="B144">
        <f>IFERROR(__xludf.DUMMYFUNCTION("""COMPUTED_VALUE"""),40.6674959705521)</f>
        <v>40.66749597</v>
      </c>
      <c r="C144">
        <f>IFERROR(__xludf.DUMMYFUNCTION("""COMPUTED_VALUE"""),16.6046676595673)</f>
        <v>16.60466766</v>
      </c>
      <c r="D144" t="str">
        <f>IFERROR(__xludf.DUMMYFUNCTION("""COMPUTED_VALUE"""),"Affittacamere")</f>
        <v>Affittacamere</v>
      </c>
      <c r="E144" t="str">
        <f>IFERROR(__xludf.DUMMYFUNCTION("""COMPUTED_VALUE"""),"LIDIA CHAMBRE D'HOTES")</f>
        <v>LIDIA CHAMBRE D'HOTES</v>
      </c>
      <c r="F144" t="str">
        <f>IFERROR(__xludf.DUMMYFUNCTION("""COMPUTED_VALUE"""),"ANNAMARIA AMOROSO")</f>
        <v>ANNAMARIA AMOROSO</v>
      </c>
      <c r="G144" t="str">
        <f>IFERROR(__xludf.DUMMYFUNCTION("""COMPUTED_VALUE"""),"VIA LUCANA 38")</f>
        <v>VIA LUCANA 38</v>
      </c>
      <c r="H144" t="str">
        <f>IFERROR(__xludf.DUMMYFUNCTION("""COMPUTED_VALUE"""),"Matera")</f>
        <v>Matera</v>
      </c>
      <c r="I144">
        <f>IFERROR(__xludf.DUMMYFUNCTION("""COMPUTED_VALUE"""),159.0)</f>
        <v>159</v>
      </c>
      <c r="J144">
        <f>IFERROR(__xludf.DUMMYFUNCTION("""COMPUTED_VALUE"""),3758.0)</f>
        <v>3758</v>
      </c>
      <c r="K144" t="str">
        <f>IFERROR(__xludf.DUMMYFUNCTION("""COMPUTED_VALUE"""),"Italy")</f>
        <v>Italy</v>
      </c>
      <c r="L144">
        <f>IFERROR(__xludf.DUMMYFUNCTION("""COMPUTED_VALUE"""),10.0)</f>
        <v>10</v>
      </c>
      <c r="M144">
        <f>IFERROR(__xludf.DUMMYFUNCTION("""COMPUTED_VALUE"""),8.0)</f>
        <v>8</v>
      </c>
      <c r="N144">
        <f>IFERROR(__xludf.DUMMYFUNCTION("""COMPUTED_VALUE"""),42604.0)</f>
        <v>42604</v>
      </c>
    </row>
    <row r="145">
      <c r="A145">
        <f>IFERROR(__xludf.DUMMYFUNCTION("""COMPUTED_VALUE"""),859.0)</f>
        <v>859</v>
      </c>
      <c r="B145">
        <f>IFERROR(__xludf.DUMMYFUNCTION("""COMPUTED_VALUE"""),40.6618590037019)</f>
        <v>40.661859</v>
      </c>
      <c r="C145">
        <f>IFERROR(__xludf.DUMMYFUNCTION("""COMPUTED_VALUE"""),16.6107586815582)</f>
        <v>16.61075868</v>
      </c>
      <c r="D145" t="str">
        <f>IFERROR(__xludf.DUMMYFUNCTION("""COMPUTED_VALUE"""),"Affittacamere")</f>
        <v>Affittacamere</v>
      </c>
      <c r="E145" t="str">
        <f>IFERROR(__xludf.DUMMYFUNCTION("""COMPUTED_VALUE"""),"GUEST HOUSE DEI SASSI 42")</f>
        <v>GUEST HOUSE DEI SASSI 42</v>
      </c>
      <c r="F145" t="str">
        <f>IFERROR(__xludf.DUMMYFUNCTION("""COMPUTED_VALUE"""),"MATERAMA DI ROCCO CORRADO &amp; C. SNC")</f>
        <v>MATERAMA DI ROCCO CORRADO &amp; C. SNC</v>
      </c>
      <c r="G145" t="str">
        <f>IFERROR(__xludf.DUMMYFUNCTION("""COMPUTED_VALUE"""),"VIA CASALNUOVO 42")</f>
        <v>VIA CASALNUOVO 42</v>
      </c>
      <c r="H145" t="str">
        <f>IFERROR(__xludf.DUMMYFUNCTION("""COMPUTED_VALUE"""),"Matera")</f>
        <v>Matera</v>
      </c>
      <c r="I145">
        <f>IFERROR(__xludf.DUMMYFUNCTION("""COMPUTED_VALUE"""),159.0)</f>
        <v>159</v>
      </c>
      <c r="J145">
        <f>IFERROR(__xludf.DUMMYFUNCTION("""COMPUTED_VALUE"""),2548.0)</f>
        <v>2548</v>
      </c>
      <c r="K145" t="str">
        <f>IFERROR(__xludf.DUMMYFUNCTION("""COMPUTED_VALUE"""),"Italy")</f>
        <v>Italy</v>
      </c>
      <c r="L145">
        <f>IFERROR(__xludf.DUMMYFUNCTION("""COMPUTED_VALUE"""),3.0)</f>
        <v>3</v>
      </c>
      <c r="M145">
        <f>IFERROR(__xludf.DUMMYFUNCTION("""COMPUTED_VALUE"""),9.0)</f>
        <v>9</v>
      </c>
      <c r="N145">
        <f>IFERROR(__xludf.DUMMYFUNCTION("""COMPUTED_VALUE"""),43334.0)</f>
        <v>43334</v>
      </c>
    </row>
    <row r="146">
      <c r="A146">
        <f>IFERROR(__xludf.DUMMYFUNCTION("""COMPUTED_VALUE"""),860.0)</f>
        <v>860</v>
      </c>
      <c r="B146">
        <f>IFERROR(__xludf.DUMMYFUNCTION("""COMPUTED_VALUE"""),40.6618590037019)</f>
        <v>40.661859</v>
      </c>
      <c r="C146">
        <f>IFERROR(__xludf.DUMMYFUNCTION("""COMPUTED_VALUE"""),16.6107586815582)</f>
        <v>16.61075868</v>
      </c>
      <c r="D146" t="str">
        <f>IFERROR(__xludf.DUMMYFUNCTION("""COMPUTED_VALUE"""),"Affittacamere")</f>
        <v>Affittacamere</v>
      </c>
      <c r="E146" t="str">
        <f>IFERROR(__xludf.DUMMYFUNCTION("""COMPUTED_VALUE"""),"GUEST HOUSE DEI SASSI 44")</f>
        <v>GUEST HOUSE DEI SASSI 44</v>
      </c>
      <c r="F146" t="str">
        <f>IFERROR(__xludf.DUMMYFUNCTION("""COMPUTED_VALUE"""),"MATERAMA DI ROCCO CORRADO &amp; C SNC")</f>
        <v>MATERAMA DI ROCCO CORRADO &amp; C SNC</v>
      </c>
      <c r="G146" t="str">
        <f>IFERROR(__xludf.DUMMYFUNCTION("""COMPUTED_VALUE"""),"VIA CASALNUOVO 44")</f>
        <v>VIA CASALNUOVO 44</v>
      </c>
      <c r="H146" t="str">
        <f>IFERROR(__xludf.DUMMYFUNCTION("""COMPUTED_VALUE"""),"Matera")</f>
        <v>Matera</v>
      </c>
      <c r="I146">
        <f>IFERROR(__xludf.DUMMYFUNCTION("""COMPUTED_VALUE"""),159.0)</f>
        <v>159</v>
      </c>
      <c r="J146">
        <f>IFERROR(__xludf.DUMMYFUNCTION("""COMPUTED_VALUE"""),2548.0)</f>
        <v>2548</v>
      </c>
      <c r="K146" t="str">
        <f>IFERROR(__xludf.DUMMYFUNCTION("""COMPUTED_VALUE"""),"Italy")</f>
        <v>Italy</v>
      </c>
      <c r="L146">
        <f>IFERROR(__xludf.DUMMYFUNCTION("""COMPUTED_VALUE"""),2.0)</f>
        <v>2</v>
      </c>
      <c r="M146">
        <f>IFERROR(__xludf.DUMMYFUNCTION("""COMPUTED_VALUE"""),9.0)</f>
        <v>9</v>
      </c>
      <c r="N146">
        <f>IFERROR(__xludf.DUMMYFUNCTION("""COMPUTED_VALUE"""),43334.0)</f>
        <v>43334</v>
      </c>
    </row>
    <row r="147">
      <c r="A147">
        <f>IFERROR(__xludf.DUMMYFUNCTION("""COMPUTED_VALUE"""),861.0)</f>
        <v>861</v>
      </c>
      <c r="B147">
        <f>IFERROR(__xludf.DUMMYFUNCTION("""COMPUTED_VALUE"""),40.6698640964615)</f>
        <v>40.6698641</v>
      </c>
      <c r="C147">
        <f>IFERROR(__xludf.DUMMYFUNCTION("""COMPUTED_VALUE"""),16.6075231644529)</f>
        <v>16.60752316</v>
      </c>
      <c r="D147" t="str">
        <f>IFERROR(__xludf.DUMMYFUNCTION("""COMPUTED_VALUE"""),"Affittacamere")</f>
        <v>Affittacamere</v>
      </c>
      <c r="E147" t="str">
        <f>IFERROR(__xludf.DUMMYFUNCTION("""COMPUTED_VALUE"""),"RESIDENCE I DUE FRATELLI")</f>
        <v>RESIDENCE I DUE FRATELLI</v>
      </c>
      <c r="F147" t="str">
        <f>IFERROR(__xludf.DUMMYFUNCTION("""COMPUTED_VALUE"""),"ALINA IMBREA")</f>
        <v>ALINA IMBREA</v>
      </c>
      <c r="G147" t="str">
        <f>IFERROR(__xludf.DUMMYFUNCTION("""COMPUTED_VALUE"""),"VIA FRANCESCO PAOLO FESTA 6")</f>
        <v>VIA FRANCESCO PAOLO FESTA 6</v>
      </c>
      <c r="H147" t="str">
        <f>IFERROR(__xludf.DUMMYFUNCTION("""COMPUTED_VALUE"""),"Matera")</f>
        <v>Matera</v>
      </c>
      <c r="I147">
        <f>IFERROR(__xludf.DUMMYFUNCTION("""COMPUTED_VALUE"""),159.0)</f>
        <v>159</v>
      </c>
      <c r="J147">
        <f>IFERROR(__xludf.DUMMYFUNCTION("""COMPUTED_VALUE"""),3472.0)</f>
        <v>3472</v>
      </c>
      <c r="K147" t="str">
        <f>IFERROR(__xludf.DUMMYFUNCTION("""COMPUTED_VALUE"""),"Italy")</f>
        <v>Italy</v>
      </c>
      <c r="L147">
        <f>IFERROR(__xludf.DUMMYFUNCTION("""COMPUTED_VALUE"""),7.0)</f>
        <v>7</v>
      </c>
      <c r="M147">
        <f>IFERROR(__xludf.DUMMYFUNCTION("""COMPUTED_VALUE"""),7.0)</f>
        <v>7</v>
      </c>
      <c r="N147">
        <f>IFERROR(__xludf.DUMMYFUNCTION("""COMPUTED_VALUE"""),43325.0)</f>
        <v>43325</v>
      </c>
    </row>
    <row r="148">
      <c r="A148">
        <f>IFERROR(__xludf.DUMMYFUNCTION("""COMPUTED_VALUE"""),862.0)</f>
        <v>862</v>
      </c>
      <c r="B148">
        <f>IFERROR(__xludf.DUMMYFUNCTION("""COMPUTED_VALUE"""),40.665998374576)</f>
        <v>40.66599837</v>
      </c>
      <c r="C148">
        <f>IFERROR(__xludf.DUMMYFUNCTION("""COMPUTED_VALUE"""),16.611656521488)</f>
        <v>16.61165652</v>
      </c>
      <c r="D148" t="str">
        <f>IFERROR(__xludf.DUMMYFUNCTION("""COMPUTED_VALUE"""),"Affittacamere")</f>
        <v>Affittacamere</v>
      </c>
      <c r="E148" t="str">
        <f>IFERROR(__xludf.DUMMYFUNCTION("""COMPUTED_VALUE"""),"NEL MURO")</f>
        <v>NEL MURO</v>
      </c>
      <c r="F148" t="str">
        <f>IFERROR(__xludf.DUMMYFUNCTION("""COMPUTED_VALUE"""),"GIUSEPPE CIARFAGLIA")</f>
        <v>GIUSEPPE CIARFAGLIA</v>
      </c>
      <c r="G148" t="str">
        <f>IFERROR(__xludf.DUMMYFUNCTION("""COMPUTED_VALUE"""),"VIA MURO 55")</f>
        <v>VIA MURO 55</v>
      </c>
      <c r="H148" t="str">
        <f>IFERROR(__xludf.DUMMYFUNCTION("""COMPUTED_VALUE"""),"Matera")</f>
        <v>Matera</v>
      </c>
      <c r="I148">
        <f>IFERROR(__xludf.DUMMYFUNCTION("""COMPUTED_VALUE"""),159.0)</f>
        <v>159</v>
      </c>
      <c r="J148">
        <f>IFERROR(__xludf.DUMMYFUNCTION("""COMPUTED_VALUE"""),1428.0)</f>
        <v>1428</v>
      </c>
      <c r="K148" t="str">
        <f>IFERROR(__xludf.DUMMYFUNCTION("""COMPUTED_VALUE"""),"Italy")</f>
        <v>Italy</v>
      </c>
      <c r="L148">
        <f>IFERROR(__xludf.DUMMYFUNCTION("""COMPUTED_VALUE"""),24.0)</f>
        <v>24</v>
      </c>
      <c r="M148">
        <f>IFERROR(__xludf.DUMMYFUNCTION("""COMPUTED_VALUE"""),9.0)</f>
        <v>9</v>
      </c>
      <c r="N148">
        <f>IFERROR(__xludf.DUMMYFUNCTION("""COMPUTED_VALUE"""),42122.0)</f>
        <v>42122</v>
      </c>
    </row>
    <row r="149">
      <c r="A149">
        <f>IFERROR(__xludf.DUMMYFUNCTION("""COMPUTED_VALUE"""),863.0)</f>
        <v>863</v>
      </c>
      <c r="B149">
        <f>IFERROR(__xludf.DUMMYFUNCTION("""COMPUTED_VALUE"""),40.66079)</f>
        <v>40.66079</v>
      </c>
      <c r="C149">
        <f>IFERROR(__xludf.DUMMYFUNCTION("""COMPUTED_VALUE"""),16.611736)</f>
        <v>16.611736</v>
      </c>
      <c r="D149" t="str">
        <f>IFERROR(__xludf.DUMMYFUNCTION("""COMPUTED_VALUE"""),"Affittacamere")</f>
        <v>Affittacamere</v>
      </c>
      <c r="E149" t="str">
        <f>IFERROR(__xludf.DUMMYFUNCTION("""COMPUTED_VALUE"""),"AFFITTACAMERE VISTA SUI SASSI")</f>
        <v>AFFITTACAMERE VISTA SUI SASSI</v>
      </c>
      <c r="F149" t="str">
        <f>IFERROR(__xludf.DUMMYFUNCTION("""COMPUTED_VALUE"""),"ANNUNZIATA GRAZIANO")</f>
        <v>ANNUNZIATA GRAZIANO</v>
      </c>
      <c r="G149" t="str">
        <f>IFERROR(__xludf.DUMMYFUNCTION("""COMPUTED_VALUE"""),"VIA LUCANA 229")</f>
        <v>VIA LUCANA 229</v>
      </c>
      <c r="H149" t="str">
        <f>IFERROR(__xludf.DUMMYFUNCTION("""COMPUTED_VALUE"""),"Matera")</f>
        <v>Matera</v>
      </c>
      <c r="I149" t="str">
        <f>IFERROR(__xludf.DUMMYFUNCTION("""COMPUTED_VALUE"""),"")</f>
        <v/>
      </c>
      <c r="J149" t="str">
        <f>IFERROR(__xludf.DUMMYFUNCTION("""COMPUTED_VALUE"""),"")</f>
        <v/>
      </c>
      <c r="K149" t="str">
        <f>IFERROR(__xludf.DUMMYFUNCTION("""COMPUTED_VALUE"""),"Italy")</f>
        <v>Italy</v>
      </c>
      <c r="L149" t="str">
        <f>IFERROR(__xludf.DUMMYFUNCTION("""COMPUTED_VALUE"""),"")</f>
        <v/>
      </c>
      <c r="M149">
        <f>IFERROR(__xludf.DUMMYFUNCTION("""COMPUTED_VALUE"""),8.0)</f>
        <v>8</v>
      </c>
      <c r="N149">
        <f>IFERROR(__xludf.DUMMYFUNCTION("""COMPUTED_VALUE"""),42387.0)</f>
        <v>42387</v>
      </c>
    </row>
    <row r="150">
      <c r="A150">
        <f>IFERROR(__xludf.DUMMYFUNCTION("""COMPUTED_VALUE"""),864.0)</f>
        <v>864</v>
      </c>
      <c r="B150">
        <f>IFERROR(__xludf.DUMMYFUNCTION("""COMPUTED_VALUE"""),40.6384090204141)</f>
        <v>40.63840902</v>
      </c>
      <c r="C150">
        <f>IFERROR(__xludf.DUMMYFUNCTION("""COMPUTED_VALUE"""),16.6232131779187)</f>
        <v>16.62321318</v>
      </c>
      <c r="D150" t="str">
        <f>IFERROR(__xludf.DUMMYFUNCTION("""COMPUTED_VALUE"""),"Affittacamere")</f>
        <v>Affittacamere</v>
      </c>
      <c r="E150" t="str">
        <f>IFERROR(__xludf.DUMMYFUNCTION("""COMPUTED_VALUE"""),"LA CASA DI RAFFAELE")</f>
        <v>LA CASA DI RAFFAELE</v>
      </c>
      <c r="F150" t="str">
        <f>IFERROR(__xludf.DUMMYFUNCTION("""COMPUTED_VALUE"""),"PAOLO RAFFAELE")</f>
        <v>PAOLO RAFFAELE</v>
      </c>
      <c r="G150" t="str">
        <f>IFERROR(__xludf.DUMMYFUNCTION("""COMPUTED_VALUE"""),"CONTRADA AGNA LE PIANE ")</f>
        <v>CONTRADA AGNA LE PIANE </v>
      </c>
      <c r="H150" t="str">
        <f>IFERROR(__xludf.DUMMYFUNCTION("""COMPUTED_VALUE"""),"Matera")</f>
        <v>Matera</v>
      </c>
      <c r="I150">
        <f>IFERROR(__xludf.DUMMYFUNCTION("""COMPUTED_VALUE"""),114.0)</f>
        <v>114</v>
      </c>
      <c r="J150">
        <f>IFERROR(__xludf.DUMMYFUNCTION("""COMPUTED_VALUE"""),1215.0)</f>
        <v>1215</v>
      </c>
      <c r="K150" t="str">
        <f>IFERROR(__xludf.DUMMYFUNCTION("""COMPUTED_VALUE"""),"Italy")</f>
        <v>Italy</v>
      </c>
      <c r="L150">
        <f>IFERROR(__xludf.DUMMYFUNCTION("""COMPUTED_VALUE"""),3.0)</f>
        <v>3</v>
      </c>
      <c r="M150">
        <f>IFERROR(__xludf.DUMMYFUNCTION("""COMPUTED_VALUE"""),9.0)</f>
        <v>9</v>
      </c>
      <c r="N150">
        <f>IFERROR(__xludf.DUMMYFUNCTION("""COMPUTED_VALUE"""),43354.0)</f>
        <v>43354</v>
      </c>
    </row>
    <row r="151">
      <c r="A151">
        <f>IFERROR(__xludf.DUMMYFUNCTION("""COMPUTED_VALUE"""),865.0)</f>
        <v>865</v>
      </c>
      <c r="B151">
        <f>IFERROR(__xludf.DUMMYFUNCTION("""COMPUTED_VALUE"""),40.671716)</f>
        <v>40.671716</v>
      </c>
      <c r="C151">
        <f>IFERROR(__xludf.DUMMYFUNCTION("""COMPUTED_VALUE"""),16.608429)</f>
        <v>16.608429</v>
      </c>
      <c r="D151" t="str">
        <f>IFERROR(__xludf.DUMMYFUNCTION("""COMPUTED_VALUE"""),"Affittacamere")</f>
        <v>Affittacamere</v>
      </c>
      <c r="E151" t="str">
        <f>IFERROR(__xludf.DUMMYFUNCTION("""COMPUTED_VALUE"""),"CASA FESTA ")</f>
        <v>CASA FESTA </v>
      </c>
      <c r="F151" t="str">
        <f>IFERROR(__xludf.DUMMYFUNCTION("""COMPUTED_VALUE"""),"ROCCO FESTA ")</f>
        <v>ROCCO FESTA </v>
      </c>
      <c r="G151" t="str">
        <f>IFERROR(__xludf.DUMMYFUNCTION("""COMPUTED_VALUE"""),"VIA SANTO STEFANO 55")</f>
        <v>VIA SANTO STEFANO 55</v>
      </c>
      <c r="H151" t="str">
        <f>IFERROR(__xludf.DUMMYFUNCTION("""COMPUTED_VALUE"""),"Matera")</f>
        <v>Matera</v>
      </c>
      <c r="I151" t="str">
        <f>IFERROR(__xludf.DUMMYFUNCTION("""COMPUTED_VALUE"""),"")</f>
        <v/>
      </c>
      <c r="J151" t="str">
        <f>IFERROR(__xludf.DUMMYFUNCTION("""COMPUTED_VALUE"""),"")</f>
        <v/>
      </c>
      <c r="K151" t="str">
        <f>IFERROR(__xludf.DUMMYFUNCTION("""COMPUTED_VALUE"""),"Italy")</f>
        <v>Italy</v>
      </c>
      <c r="L151" t="str">
        <f>IFERROR(__xludf.DUMMYFUNCTION("""COMPUTED_VALUE"""),"")</f>
        <v/>
      </c>
      <c r="M151" t="str">
        <f>IFERROR(__xludf.DUMMYFUNCTION("""COMPUTED_VALUE"""),"")</f>
        <v/>
      </c>
      <c r="N151" t="str">
        <f>IFERROR(__xludf.DUMMYFUNCTION("""COMPUTED_VALUE"""),"")</f>
        <v/>
      </c>
    </row>
    <row r="152">
      <c r="A152">
        <f>IFERROR(__xludf.DUMMYFUNCTION("""COMPUTED_VALUE"""),866.0)</f>
        <v>866</v>
      </c>
      <c r="B152">
        <f>IFERROR(__xludf.DUMMYFUNCTION("""COMPUTED_VALUE"""),40.66978)</f>
        <v>40.66978</v>
      </c>
      <c r="C152">
        <f>IFERROR(__xludf.DUMMYFUNCTION("""COMPUTED_VALUE"""),16.608264)</f>
        <v>16.608264</v>
      </c>
      <c r="D152" t="str">
        <f>IFERROR(__xludf.DUMMYFUNCTION("""COMPUTED_VALUE"""),"Affittacamere")</f>
        <v>Affittacamere</v>
      </c>
      <c r="E152" t="str">
        <f>IFERROR(__xludf.DUMMYFUNCTION("""COMPUTED_VALUE"""),"HYDRIA RESIDENCE")</f>
        <v>HYDRIA RESIDENCE</v>
      </c>
      <c r="F152" t="str">
        <f>IFERROR(__xludf.DUMMYFUNCTION("""COMPUTED_VALUE"""),"ARTEC DI DI CUIA FRANCESCO PAOLO")</f>
        <v>ARTEC DI DI CUIA FRANCESCO PAOLO</v>
      </c>
      <c r="G152" t="str">
        <f>IFERROR(__xludf.DUMMYFUNCTION("""COMPUTED_VALUE"""),"VIA PIAVE")</f>
        <v>VIA PIAVE</v>
      </c>
      <c r="H152" t="str">
        <f>IFERROR(__xludf.DUMMYFUNCTION("""COMPUTED_VALUE"""),"Matera")</f>
        <v>Matera</v>
      </c>
      <c r="I152">
        <f>IFERROR(__xludf.DUMMYFUNCTION("""COMPUTED_VALUE"""),159.0)</f>
        <v>159</v>
      </c>
      <c r="J152">
        <f>IFERROR(__xludf.DUMMYFUNCTION("""COMPUTED_VALUE"""),3565.0)</f>
        <v>3565</v>
      </c>
      <c r="K152" t="str">
        <f>IFERROR(__xludf.DUMMYFUNCTION("""COMPUTED_VALUE"""),"Italy")</f>
        <v>Italy</v>
      </c>
      <c r="L152">
        <f>IFERROR(__xludf.DUMMYFUNCTION("""COMPUTED_VALUE"""),4.0)</f>
        <v>4</v>
      </c>
      <c r="M152">
        <f>IFERROR(__xludf.DUMMYFUNCTION("""COMPUTED_VALUE"""),10.0)</f>
        <v>10</v>
      </c>
      <c r="N152">
        <f>IFERROR(__xludf.DUMMYFUNCTION("""COMPUTED_VALUE"""),42447.0)</f>
        <v>42447</v>
      </c>
    </row>
    <row r="153">
      <c r="A153">
        <f>IFERROR(__xludf.DUMMYFUNCTION("""COMPUTED_VALUE"""),868.0)</f>
        <v>868</v>
      </c>
      <c r="B153">
        <f>IFERROR(__xludf.DUMMYFUNCTION("""COMPUTED_VALUE"""),40.666574)</f>
        <v>40.666574</v>
      </c>
      <c r="C153">
        <f>IFERROR(__xludf.DUMMYFUNCTION("""COMPUTED_VALUE"""),16.603974)</f>
        <v>16.603974</v>
      </c>
      <c r="D153" t="str">
        <f>IFERROR(__xludf.DUMMYFUNCTION("""COMPUTED_VALUE"""),"Affittacamere")</f>
        <v>Affittacamere</v>
      </c>
      <c r="E153" t="str">
        <f>IFERROR(__xludf.DUMMYFUNCTION("""COMPUTED_VALUE"""),"PIETRE E SASSI")</f>
        <v>PIETRE E SASSI</v>
      </c>
      <c r="F153" t="str">
        <f>IFERROR(__xludf.DUMMYFUNCTION("""COMPUTED_VALUE"""),"PIETRE E SASSI SRLS")</f>
        <v>PIETRE E SASSI SRLS</v>
      </c>
      <c r="G153" t="str">
        <f>IFERROR(__xludf.DUMMYFUNCTION("""COMPUTED_VALUE"""),"VIA DON MINZONI 4")</f>
        <v>VIA DON MINZONI 4</v>
      </c>
      <c r="H153" t="str">
        <f>IFERROR(__xludf.DUMMYFUNCTION("""COMPUTED_VALUE"""),"Matera")</f>
        <v>Matera</v>
      </c>
      <c r="I153">
        <f>IFERROR(__xludf.DUMMYFUNCTION("""COMPUTED_VALUE"""),71.0)</f>
        <v>71</v>
      </c>
      <c r="J153">
        <f>IFERROR(__xludf.DUMMYFUNCTION("""COMPUTED_VALUE"""),196.0)</f>
        <v>196</v>
      </c>
      <c r="K153" t="str">
        <f>IFERROR(__xludf.DUMMYFUNCTION("""COMPUTED_VALUE"""),"Italy")</f>
        <v>Italy</v>
      </c>
      <c r="L153">
        <f>IFERROR(__xludf.DUMMYFUNCTION("""COMPUTED_VALUE"""),5.0)</f>
        <v>5</v>
      </c>
      <c r="M153">
        <f>IFERROR(__xludf.DUMMYFUNCTION("""COMPUTED_VALUE"""),12.0)</f>
        <v>12</v>
      </c>
      <c r="N153">
        <f>IFERROR(__xludf.DUMMYFUNCTION("""COMPUTED_VALUE"""),43397.0)</f>
        <v>43397</v>
      </c>
    </row>
    <row r="154">
      <c r="A154">
        <f>IFERROR(__xludf.DUMMYFUNCTION("""COMPUTED_VALUE"""),870.0)</f>
        <v>870</v>
      </c>
      <c r="B154">
        <f>IFERROR(__xludf.DUMMYFUNCTION("""COMPUTED_VALUE"""),40.662726)</f>
        <v>40.662726</v>
      </c>
      <c r="C154">
        <f>IFERROR(__xludf.DUMMYFUNCTION("""COMPUTED_VALUE"""),16.606803)</f>
        <v>16.606803</v>
      </c>
      <c r="D154" t="str">
        <f>IFERROR(__xludf.DUMMYFUNCTION("""COMPUTED_VALUE"""),"Affittacamere")</f>
        <v>Affittacamere</v>
      </c>
      <c r="E154" t="str">
        <f>IFERROR(__xludf.DUMMYFUNCTION("""COMPUTED_VALUE"""),"CENTRAL ROOMS MATERA")</f>
        <v>CENTRAL ROOMS MATERA</v>
      </c>
      <c r="F154" t="str">
        <f>IFERROR(__xludf.DUMMYFUNCTION("""COMPUTED_VALUE"""),"SPR S.N.C. DI GRASSI SARIO &amp; C.")</f>
        <v>SPR S.N.C. DI GRASSI SARIO &amp; C.</v>
      </c>
      <c r="G154" t="str">
        <f>IFERROR(__xludf.DUMMYFUNCTION("""COMPUTED_VALUE"""),"ANDREA SERRAO 16")</f>
        <v>ANDREA SERRAO 16</v>
      </c>
      <c r="H154" t="str">
        <f>IFERROR(__xludf.DUMMYFUNCTION("""COMPUTED_VALUE"""),"Matera")</f>
        <v>Matera</v>
      </c>
      <c r="I154">
        <f>IFERROR(__xludf.DUMMYFUNCTION("""COMPUTED_VALUE"""),103.0)</f>
        <v>103</v>
      </c>
      <c r="J154">
        <f>IFERROR(__xludf.DUMMYFUNCTION("""COMPUTED_VALUE"""),630.0)</f>
        <v>630</v>
      </c>
      <c r="K154" t="str">
        <f>IFERROR(__xludf.DUMMYFUNCTION("""COMPUTED_VALUE"""),"Italy")</f>
        <v>Italy</v>
      </c>
      <c r="L154">
        <f>IFERROR(__xludf.DUMMYFUNCTION("""COMPUTED_VALUE"""),4.0)</f>
        <v>4</v>
      </c>
      <c r="M154">
        <f>IFERROR(__xludf.DUMMYFUNCTION("""COMPUTED_VALUE"""),10.0)</f>
        <v>10</v>
      </c>
      <c r="N154">
        <f>IFERROR(__xludf.DUMMYFUNCTION("""COMPUTED_VALUE"""),43396.0)</f>
        <v>43396</v>
      </c>
    </row>
    <row r="155">
      <c r="A155">
        <f>IFERROR(__xludf.DUMMYFUNCTION("""COMPUTED_VALUE"""),872.0)</f>
        <v>872</v>
      </c>
      <c r="B155">
        <f>IFERROR(__xludf.DUMMYFUNCTION("""COMPUTED_VALUE"""),40.66273)</f>
        <v>40.66273</v>
      </c>
      <c r="C155">
        <f>IFERROR(__xludf.DUMMYFUNCTION("""COMPUTED_VALUE"""),16.606793)</f>
        <v>16.606793</v>
      </c>
      <c r="D155" t="str">
        <f>IFERROR(__xludf.DUMMYFUNCTION("""COMPUTED_VALUE"""),"Affittacamere")</f>
        <v>Affittacamere</v>
      </c>
      <c r="E155" t="str">
        <f>IFERROR(__xludf.DUMMYFUNCTION("""COMPUTED_VALUE"""),"CONCHE")</f>
        <v>CONCHE</v>
      </c>
      <c r="F155" t="str">
        <f>IFERROR(__xludf.DUMMYFUNCTION("""COMPUTED_VALUE"""),"TINA RONDINONE")</f>
        <v>TINA RONDINONE</v>
      </c>
      <c r="G155" t="str">
        <f>IFERROR(__xludf.DUMMYFUNCTION("""COMPUTED_VALUE"""),"VICO DI VIA CONCHE 8 9 10 11 12")</f>
        <v>VICO DI VIA CONCHE 8 9 10 11 12</v>
      </c>
      <c r="H155" t="str">
        <f>IFERROR(__xludf.DUMMYFUNCTION("""COMPUTED_VALUE"""),"Matera")</f>
        <v>Matera</v>
      </c>
      <c r="I155">
        <f>IFERROR(__xludf.DUMMYFUNCTION("""COMPUTED_VALUE"""),159.0)</f>
        <v>159</v>
      </c>
      <c r="J155">
        <f>IFERROR(__xludf.DUMMYFUNCTION("""COMPUTED_VALUE"""),2283.0)</f>
        <v>2283</v>
      </c>
      <c r="K155" t="str">
        <f>IFERROR(__xludf.DUMMYFUNCTION("""COMPUTED_VALUE"""),"Italy")</f>
        <v>Italy</v>
      </c>
      <c r="L155">
        <f>IFERROR(__xludf.DUMMYFUNCTION("""COMPUTED_VALUE"""),14.0)</f>
        <v>14</v>
      </c>
      <c r="M155">
        <f>IFERROR(__xludf.DUMMYFUNCTION("""COMPUTED_VALUE"""),14.0)</f>
        <v>14</v>
      </c>
      <c r="N155">
        <f>IFERROR(__xludf.DUMMYFUNCTION("""COMPUTED_VALUE"""),43403.0)</f>
        <v>43403</v>
      </c>
    </row>
    <row r="156">
      <c r="A156">
        <f>IFERROR(__xludf.DUMMYFUNCTION("""COMPUTED_VALUE"""),873.0)</f>
        <v>873</v>
      </c>
      <c r="B156">
        <f>IFERROR(__xludf.DUMMYFUNCTION("""COMPUTED_VALUE"""),40.662473)</f>
        <v>40.662473</v>
      </c>
      <c r="C156">
        <f>IFERROR(__xludf.DUMMYFUNCTION("""COMPUTED_VALUE"""),16.610109)</f>
        <v>16.610109</v>
      </c>
      <c r="D156" t="str">
        <f>IFERROR(__xludf.DUMMYFUNCTION("""COMPUTED_VALUE"""),"Affittacamere")</f>
        <v>Affittacamere</v>
      </c>
      <c r="E156" t="str">
        <f>IFERROR(__xludf.DUMMYFUNCTION("""COMPUTED_VALUE"""),"PALAZZO MONTEMURRO")</f>
        <v>PALAZZO MONTEMURRO</v>
      </c>
      <c r="F156" t="str">
        <f>IFERROR(__xludf.DUMMYFUNCTION("""COMPUTED_VALUE"""),"CREATRE DI PASQUALE ED ANTONELLA MONTEMURRO")</f>
        <v>CREATRE DI PASQUALE ED ANTONELLA MONTEMURRO</v>
      </c>
      <c r="G156" t="str">
        <f>IFERROR(__xludf.DUMMYFUNCTION("""COMPUTED_VALUE"""),"VIA RIDOLA 49")</f>
        <v>VIA RIDOLA 49</v>
      </c>
      <c r="H156" t="str">
        <f>IFERROR(__xludf.DUMMYFUNCTION("""COMPUTED_VALUE"""),"Matera")</f>
        <v>Matera</v>
      </c>
      <c r="I156">
        <f>IFERROR(__xludf.DUMMYFUNCTION("""COMPUTED_VALUE"""),159.0)</f>
        <v>159</v>
      </c>
      <c r="J156">
        <f>IFERROR(__xludf.DUMMYFUNCTION("""COMPUTED_VALUE"""),2558.0)</f>
        <v>2558</v>
      </c>
      <c r="K156" t="str">
        <f>IFERROR(__xludf.DUMMYFUNCTION("""COMPUTED_VALUE"""),"Italy")</f>
        <v>Italy</v>
      </c>
      <c r="L156">
        <f>IFERROR(__xludf.DUMMYFUNCTION("""COMPUTED_VALUE"""),9.0)</f>
        <v>9</v>
      </c>
      <c r="M156">
        <f>IFERROR(__xludf.DUMMYFUNCTION("""COMPUTED_VALUE"""),9.0)</f>
        <v>9</v>
      </c>
      <c r="N156">
        <f>IFERROR(__xludf.DUMMYFUNCTION("""COMPUTED_VALUE"""),43399.0)</f>
        <v>43399</v>
      </c>
    </row>
    <row r="157">
      <c r="A157">
        <f>IFERROR(__xludf.DUMMYFUNCTION("""COMPUTED_VALUE"""),874.0)</f>
        <v>874</v>
      </c>
      <c r="B157">
        <f>IFERROR(__xludf.DUMMYFUNCTION("""COMPUTED_VALUE"""),40.666799)</f>
        <v>40.666799</v>
      </c>
      <c r="C157">
        <f>IFERROR(__xludf.DUMMYFUNCTION("""COMPUTED_VALUE"""),16.603101)</f>
        <v>16.603101</v>
      </c>
      <c r="D157" t="str">
        <f>IFERROR(__xludf.DUMMYFUNCTION("""COMPUTED_VALUE"""),"Affittacamere")</f>
        <v>Affittacamere</v>
      </c>
      <c r="E157" t="str">
        <f>IFERROR(__xludf.DUMMYFUNCTION("""COMPUTED_VALUE"""),"L'OSPITE")</f>
        <v>L'OSPITE</v>
      </c>
      <c r="F157" t="str">
        <f>IFERROR(__xludf.DUMMYFUNCTION("""COMPUTED_VALUE"""),"BRANDI MARIA GRAZIA")</f>
        <v>BRANDI MARIA GRAZIA</v>
      </c>
      <c r="G157" t="str">
        <f>IFERROR(__xludf.DUMMYFUNCTION("""COMPUTED_VALUE"""),"VICO SECONDO DON MINZONI 1")</f>
        <v>VICO SECONDO DON MINZONI 1</v>
      </c>
      <c r="H157" t="str">
        <f>IFERROR(__xludf.DUMMYFUNCTION("""COMPUTED_VALUE"""),"Matera")</f>
        <v>Matera</v>
      </c>
      <c r="I157" t="str">
        <f>IFERROR(__xludf.DUMMYFUNCTION("""COMPUTED_VALUE"""),"")</f>
        <v/>
      </c>
      <c r="J157" t="str">
        <f>IFERROR(__xludf.DUMMYFUNCTION("""COMPUTED_VALUE"""),"")</f>
        <v/>
      </c>
      <c r="K157" t="str">
        <f>IFERROR(__xludf.DUMMYFUNCTION("""COMPUTED_VALUE"""),"Italy")</f>
        <v>Italy</v>
      </c>
      <c r="L157" t="str">
        <f>IFERROR(__xludf.DUMMYFUNCTION("""COMPUTED_VALUE"""),"")</f>
        <v/>
      </c>
      <c r="M157">
        <f>IFERROR(__xludf.DUMMYFUNCTION("""COMPUTED_VALUE"""),15.0)</f>
        <v>15</v>
      </c>
      <c r="N157">
        <f>IFERROR(__xludf.DUMMYFUNCTION("""COMPUTED_VALUE"""),43315.0)</f>
        <v>43315</v>
      </c>
    </row>
    <row r="158">
      <c r="A158">
        <f>IFERROR(__xludf.DUMMYFUNCTION("""COMPUTED_VALUE"""),875.0)</f>
        <v>875</v>
      </c>
      <c r="B158">
        <f>IFERROR(__xludf.DUMMYFUNCTION("""COMPUTED_VALUE"""),40.664384)</f>
        <v>40.664384</v>
      </c>
      <c r="C158">
        <f>IFERROR(__xludf.DUMMYFUNCTION("""COMPUTED_VALUE"""),16.602547)</f>
        <v>16.602547</v>
      </c>
      <c r="D158" t="str">
        <f>IFERROR(__xludf.DUMMYFUNCTION("""COMPUTED_VALUE"""),"Affittacamere")</f>
        <v>Affittacamere</v>
      </c>
      <c r="E158" t="str">
        <f>IFERROR(__xludf.DUMMYFUNCTION("""COMPUTED_VALUE"""),"AFFITTACAMERE PIGNATELLI")</f>
        <v>AFFITTACAMERE PIGNATELLI</v>
      </c>
      <c r="F158" t="str">
        <f>IFERROR(__xludf.DUMMYFUNCTION("""COMPUTED_VALUE"""),"PIGNATELLI GIUSEPPE")</f>
        <v>PIGNATELLI GIUSEPPE</v>
      </c>
      <c r="G158" t="str">
        <f>IFERROR(__xludf.DUMMYFUNCTION("""COMPUTED_VALUE"""),"VICO PRIMO PASSARELLI 10")</f>
        <v>VICO PRIMO PASSARELLI 10</v>
      </c>
      <c r="H158" t="str">
        <f>IFERROR(__xludf.DUMMYFUNCTION("""COMPUTED_VALUE"""),"Matera")</f>
        <v>Matera</v>
      </c>
      <c r="I158">
        <f>IFERROR(__xludf.DUMMYFUNCTION("""COMPUTED_VALUE"""),71.0)</f>
        <v>71</v>
      </c>
      <c r="J158">
        <f>IFERROR(__xludf.DUMMYFUNCTION("""COMPUTED_VALUE"""),428.0)</f>
        <v>428</v>
      </c>
      <c r="K158" t="str">
        <f>IFERROR(__xludf.DUMMYFUNCTION("""COMPUTED_VALUE"""),"Italy")</f>
        <v>Italy</v>
      </c>
      <c r="L158">
        <f>IFERROR(__xludf.DUMMYFUNCTION("""COMPUTED_VALUE"""),10.0)</f>
        <v>10</v>
      </c>
      <c r="M158">
        <f>IFERROR(__xludf.DUMMYFUNCTION("""COMPUTED_VALUE"""),7.0)</f>
        <v>7</v>
      </c>
      <c r="N158">
        <f>IFERROR(__xludf.DUMMYFUNCTION("""COMPUTED_VALUE"""),43423.0)</f>
        <v>43423</v>
      </c>
    </row>
    <row r="159">
      <c r="A159">
        <f>IFERROR(__xludf.DUMMYFUNCTION("""COMPUTED_VALUE"""),876.0)</f>
        <v>876</v>
      </c>
      <c r="B159">
        <f>IFERROR(__xludf.DUMMYFUNCTION("""COMPUTED_VALUE"""),40.675657)</f>
        <v>40.675657</v>
      </c>
      <c r="C159">
        <f>IFERROR(__xludf.DUMMYFUNCTION("""COMPUTED_VALUE"""),16.574885)</f>
        <v>16.574885</v>
      </c>
      <c r="D159" t="str">
        <f>IFERROR(__xludf.DUMMYFUNCTION("""COMPUTED_VALUE"""),"Affittacamere")</f>
        <v>Affittacamere</v>
      </c>
      <c r="E159" t="str">
        <f>IFERROR(__xludf.DUMMYFUNCTION("""COMPUTED_VALUE"""),"MASSERIA SANTA LUCIA DUE")</f>
        <v>MASSERIA SANTA LUCIA DUE</v>
      </c>
      <c r="F159" t="str">
        <f>IFERROR(__xludf.DUMMYFUNCTION("""COMPUTED_VALUE"""),"MASSERIA SANTA LUCIA sas")</f>
        <v>MASSERIA SANTA LUCIA sas</v>
      </c>
      <c r="G159" t="str">
        <f>IFERROR(__xludf.DUMMYFUNCTION("""COMPUTED_VALUE"""),"VIA DELL'AGRICOLTURA")</f>
        <v>VIA DELL'AGRICOLTURA</v>
      </c>
      <c r="H159" t="str">
        <f>IFERROR(__xludf.DUMMYFUNCTION("""COMPUTED_VALUE"""),"Matera")</f>
        <v>Matera</v>
      </c>
      <c r="I159">
        <f>IFERROR(__xludf.DUMMYFUNCTION("""COMPUTED_VALUE"""),67.0)</f>
        <v>67</v>
      </c>
      <c r="J159">
        <f>IFERROR(__xludf.DUMMYFUNCTION("""COMPUTED_VALUE"""),12.0)</f>
        <v>12</v>
      </c>
      <c r="K159" t="str">
        <f>IFERROR(__xludf.DUMMYFUNCTION("""COMPUTED_VALUE"""),"Italy")</f>
        <v>Italy</v>
      </c>
      <c r="L159">
        <f>IFERROR(__xludf.DUMMYFUNCTION("""COMPUTED_VALUE"""),20.0)</f>
        <v>20</v>
      </c>
      <c r="M159">
        <f>IFERROR(__xludf.DUMMYFUNCTION("""COMPUTED_VALUE"""),8.0)</f>
        <v>8</v>
      </c>
      <c r="N159">
        <f>IFERROR(__xludf.DUMMYFUNCTION("""COMPUTED_VALUE"""),43412.0)</f>
        <v>43412</v>
      </c>
    </row>
    <row r="160">
      <c r="A160">
        <f>IFERROR(__xludf.DUMMYFUNCTION("""COMPUTED_VALUE"""),877.0)</f>
        <v>877</v>
      </c>
      <c r="B160">
        <f>IFERROR(__xludf.DUMMYFUNCTION("""COMPUTED_VALUE"""),40.666576)</f>
        <v>40.666576</v>
      </c>
      <c r="C160">
        <f>IFERROR(__xludf.DUMMYFUNCTION("""COMPUTED_VALUE"""),16.609633)</f>
        <v>16.609633</v>
      </c>
      <c r="D160" t="str">
        <f>IFERROR(__xludf.DUMMYFUNCTION("""COMPUTED_VALUE"""),"Affittacamere")</f>
        <v>Affittacamere</v>
      </c>
      <c r="E160" t="str">
        <f>IFERROR(__xludf.DUMMYFUNCTION("""COMPUTED_VALUE"""),"IL GIARDINO DI ELEONORA")</f>
        <v>IL GIARDINO DI ELEONORA</v>
      </c>
      <c r="F160" t="str">
        <f>IFERROR(__xludf.DUMMYFUNCTION("""COMPUTED_VALUE"""),"AMOROSO MASSIMO")</f>
        <v>AMOROSO MASSIMO</v>
      </c>
      <c r="G160" t="str">
        <f>IFERROR(__xludf.DUMMYFUNCTION("""COMPUTED_VALUE"""),"VIA SETTE DOLORI 18")</f>
        <v>VIA SETTE DOLORI 18</v>
      </c>
      <c r="H160" t="str">
        <f>IFERROR(__xludf.DUMMYFUNCTION("""COMPUTED_VALUE"""),"Matera")</f>
        <v>Matera</v>
      </c>
      <c r="I160">
        <f>IFERROR(__xludf.DUMMYFUNCTION("""COMPUTED_VALUE"""),159.0)</f>
        <v>159</v>
      </c>
      <c r="J160">
        <f>IFERROR(__xludf.DUMMYFUNCTION("""COMPUTED_VALUE"""),784.0)</f>
        <v>784</v>
      </c>
      <c r="K160" t="str">
        <f>IFERROR(__xludf.DUMMYFUNCTION("""COMPUTED_VALUE"""),"Italy")</f>
        <v>Italy</v>
      </c>
      <c r="L160">
        <f>IFERROR(__xludf.DUMMYFUNCTION("""COMPUTED_VALUE"""),14.0)</f>
        <v>14</v>
      </c>
      <c r="M160">
        <f>IFERROR(__xludf.DUMMYFUNCTION("""COMPUTED_VALUE"""),10.0)</f>
        <v>10</v>
      </c>
      <c r="N160">
        <f>IFERROR(__xludf.DUMMYFUNCTION("""COMPUTED_VALUE"""),43419.0)</f>
        <v>43419</v>
      </c>
    </row>
    <row r="161">
      <c r="A161">
        <f>IFERROR(__xludf.DUMMYFUNCTION("""COMPUTED_VALUE"""),878.0)</f>
        <v>878</v>
      </c>
      <c r="B161">
        <f>IFERROR(__xludf.DUMMYFUNCTION("""COMPUTED_VALUE"""),40.65945)</f>
        <v>40.65945</v>
      </c>
      <c r="C161">
        <f>IFERROR(__xludf.DUMMYFUNCTION("""COMPUTED_VALUE"""),16.607297)</f>
        <v>16.607297</v>
      </c>
      <c r="D161" t="str">
        <f>IFERROR(__xludf.DUMMYFUNCTION("""COMPUTED_VALUE"""),"Affittacamere")</f>
        <v>Affittacamere</v>
      </c>
      <c r="E161" t="str">
        <f>IFERROR(__xludf.DUMMYFUNCTION("""COMPUTED_VALUE"""),"ACCASA")</f>
        <v>ACCASA</v>
      </c>
      <c r="F161" t="str">
        <f>IFERROR(__xludf.DUMMYFUNCTION("""COMPUTED_VALUE"""),"ACCASA SNC DI NICOLETTI ANTONELLA &amp; C.")</f>
        <v>ACCASA SNC DI NICOLETTI ANTONELLA &amp; C.</v>
      </c>
      <c r="G161" t="str">
        <f>IFERROR(__xludf.DUMMYFUNCTION("""COMPUTED_VALUE"""),"VIA PASQUALE VENA 87")</f>
        <v>VIA PASQUALE VENA 87</v>
      </c>
      <c r="H161" t="str">
        <f>IFERROR(__xludf.DUMMYFUNCTION("""COMPUTED_VALUE"""),"Matera")</f>
        <v>Matera</v>
      </c>
      <c r="I161">
        <f>IFERROR(__xludf.DUMMYFUNCTION("""COMPUTED_VALUE"""),103.0)</f>
        <v>103</v>
      </c>
      <c r="J161">
        <f>IFERROR(__xludf.DUMMYFUNCTION("""COMPUTED_VALUE"""),398.0)</f>
        <v>398</v>
      </c>
      <c r="K161" t="str">
        <f>IFERROR(__xludf.DUMMYFUNCTION("""COMPUTED_VALUE"""),"Italy")</f>
        <v>Italy</v>
      </c>
      <c r="L161">
        <f>IFERROR(__xludf.DUMMYFUNCTION("""COMPUTED_VALUE"""),7.0)</f>
        <v>7</v>
      </c>
      <c r="M161">
        <f>IFERROR(__xludf.DUMMYFUNCTION("""COMPUTED_VALUE"""),12.0)</f>
        <v>12</v>
      </c>
      <c r="N161">
        <f>IFERROR(__xludf.DUMMYFUNCTION("""COMPUTED_VALUE"""),43467.0)</f>
        <v>43467</v>
      </c>
    </row>
    <row r="162">
      <c r="A162">
        <f>IFERROR(__xludf.DUMMYFUNCTION("""COMPUTED_VALUE"""),879.0)</f>
        <v>879</v>
      </c>
      <c r="B162">
        <f>IFERROR(__xludf.DUMMYFUNCTION("""COMPUTED_VALUE"""),40.674743)</f>
        <v>40.674743</v>
      </c>
      <c r="C162">
        <f>IFERROR(__xludf.DUMMYFUNCTION("""COMPUTED_VALUE"""),16.599516)</f>
        <v>16.599516</v>
      </c>
      <c r="D162" t="str">
        <f>IFERROR(__xludf.DUMMYFUNCTION("""COMPUTED_VALUE"""),"Affittacamere")</f>
        <v>Affittacamere</v>
      </c>
      <c r="E162" t="str">
        <f>IFERROR(__xludf.DUMMYFUNCTION("""COMPUTED_VALUE"""),"LA VOLTA BUONA")</f>
        <v>LA VOLTA BUONA</v>
      </c>
      <c r="F162" t="str">
        <f>IFERROR(__xludf.DUMMYFUNCTION("""COMPUTED_VALUE"""),"VALERIA MANICONE")</f>
        <v>VALERIA MANICONE</v>
      </c>
      <c r="G162" t="str">
        <f>IFERROR(__xludf.DUMMYFUNCTION("""COMPUTED_VALUE"""),"VIA ISTRIA 12")</f>
        <v>VIA ISTRIA 12</v>
      </c>
      <c r="H162" t="str">
        <f>IFERROR(__xludf.DUMMYFUNCTION("""COMPUTED_VALUE"""),"Matera")</f>
        <v>Matera</v>
      </c>
      <c r="I162">
        <f>IFERROR(__xludf.DUMMYFUNCTION("""COMPUTED_VALUE"""),159.0)</f>
        <v>159</v>
      </c>
      <c r="J162">
        <f>IFERROR(__xludf.DUMMYFUNCTION("""COMPUTED_VALUE"""),4751.0)</f>
        <v>4751</v>
      </c>
      <c r="K162" t="str">
        <f>IFERROR(__xludf.DUMMYFUNCTION("""COMPUTED_VALUE"""),"Italy")</f>
        <v>Italy</v>
      </c>
      <c r="L162">
        <f>IFERROR(__xludf.DUMMYFUNCTION("""COMPUTED_VALUE"""),43.0)</f>
        <v>43</v>
      </c>
      <c r="M162">
        <f>IFERROR(__xludf.DUMMYFUNCTION("""COMPUTED_VALUE"""),6.0)</f>
        <v>6</v>
      </c>
      <c r="N162">
        <f>IFERROR(__xludf.DUMMYFUNCTION("""COMPUTED_VALUE"""),43493.0)</f>
        <v>43493</v>
      </c>
    </row>
    <row r="163">
      <c r="A163">
        <f>IFERROR(__xludf.DUMMYFUNCTION("""COMPUTED_VALUE"""),880.0)</f>
        <v>880</v>
      </c>
      <c r="B163">
        <f>IFERROR(__xludf.DUMMYFUNCTION("""COMPUTED_VALUE"""),40.645742)</f>
        <v>40.645742</v>
      </c>
      <c r="C163">
        <f>IFERROR(__xludf.DUMMYFUNCTION("""COMPUTED_VALUE"""),16.623201)</f>
        <v>16.623201</v>
      </c>
      <c r="D163" t="str">
        <f>IFERROR(__xludf.DUMMYFUNCTION("""COMPUTED_VALUE"""),"Affittacamere")</f>
        <v>Affittacamere</v>
      </c>
      <c r="E163" t="str">
        <f>IFERROR(__xludf.DUMMYFUNCTION("""COMPUTED_VALUE"""),"UN POSTO AL SOLE")</f>
        <v>UN POSTO AL SOLE</v>
      </c>
      <c r="F163" t="str">
        <f>IFERROR(__xludf.DUMMYFUNCTION("""COMPUTED_VALUE"""),"MANLEVA TOUR MURAGLIA MARCO")</f>
        <v>MANLEVA TOUR MURAGLIA MARCO</v>
      </c>
      <c r="G163" t="str">
        <f>IFERROR(__xludf.DUMMYFUNCTION("""COMPUTED_VALUE"""),"VIA FRANCESCO E NATALE FARINA 46")</f>
        <v>VIA FRANCESCO E NATALE FARINA 46</v>
      </c>
      <c r="H163" t="str">
        <f>IFERROR(__xludf.DUMMYFUNCTION("""COMPUTED_VALUE"""),"Matera")</f>
        <v>Matera</v>
      </c>
      <c r="I163">
        <f>IFERROR(__xludf.DUMMYFUNCTION("""COMPUTED_VALUE"""),106.0)</f>
        <v>106</v>
      </c>
      <c r="J163">
        <f>IFERROR(__xludf.DUMMYFUNCTION("""COMPUTED_VALUE"""),146.0)</f>
        <v>146</v>
      </c>
      <c r="K163" t="str">
        <f>IFERROR(__xludf.DUMMYFUNCTION("""COMPUTED_VALUE"""),"Italy")</f>
        <v>Italy</v>
      </c>
      <c r="L163">
        <f>IFERROR(__xludf.DUMMYFUNCTION("""COMPUTED_VALUE"""),2.0)</f>
        <v>2</v>
      </c>
      <c r="M163">
        <f>IFERROR(__xludf.DUMMYFUNCTION("""COMPUTED_VALUE"""),3.0)</f>
        <v>3</v>
      </c>
      <c r="N163">
        <f>IFERROR(__xludf.DUMMYFUNCTION("""COMPUTED_VALUE"""),43461.0)</f>
        <v>43461</v>
      </c>
    </row>
    <row r="164">
      <c r="A164">
        <f>IFERROR(__xludf.DUMMYFUNCTION("""COMPUTED_VALUE"""),882.0)</f>
        <v>882</v>
      </c>
      <c r="B164">
        <f>IFERROR(__xludf.DUMMYFUNCTION("""COMPUTED_VALUE"""),40.6726)</f>
        <v>40.6726</v>
      </c>
      <c r="C164">
        <f>IFERROR(__xludf.DUMMYFUNCTION("""COMPUTED_VALUE"""),16.60847)</f>
        <v>16.60847</v>
      </c>
      <c r="D164" t="str">
        <f>IFERROR(__xludf.DUMMYFUNCTION("""COMPUTED_VALUE"""),"Affittacamere")</f>
        <v>Affittacamere</v>
      </c>
      <c r="E164" t="str">
        <f>IFERROR(__xludf.DUMMYFUNCTION("""COMPUTED_VALUE"""),"CASA SANTOSTEFANO")</f>
        <v>CASA SANTOSTEFANO</v>
      </c>
      <c r="F164" t="str">
        <f>IFERROR(__xludf.DUMMYFUNCTION("""COMPUTED_VALUE"""),"DIONISI ALESSANDRO")</f>
        <v>DIONISI ALESSANDRO</v>
      </c>
      <c r="G164" t="str">
        <f>IFERROR(__xludf.DUMMYFUNCTION("""COMPUTED_VALUE"""),"VICO DI VIA SANTO STEFANO 28")</f>
        <v>VICO DI VIA SANTO STEFANO 28</v>
      </c>
      <c r="H164" t="str">
        <f>IFERROR(__xludf.DUMMYFUNCTION("""COMPUTED_VALUE"""),"Matera")</f>
        <v>Matera</v>
      </c>
      <c r="I164">
        <f>IFERROR(__xludf.DUMMYFUNCTION("""COMPUTED_VALUE"""),159.0)</f>
        <v>159</v>
      </c>
      <c r="J164">
        <f>IFERROR(__xludf.DUMMYFUNCTION("""COMPUTED_VALUE"""),3556.0)</f>
        <v>3556</v>
      </c>
      <c r="K164" t="str">
        <f>IFERROR(__xludf.DUMMYFUNCTION("""COMPUTED_VALUE"""),"Italy")</f>
        <v>Italy</v>
      </c>
      <c r="L164">
        <f>IFERROR(__xludf.DUMMYFUNCTION("""COMPUTED_VALUE"""),10.0)</f>
        <v>10</v>
      </c>
      <c r="M164">
        <f>IFERROR(__xludf.DUMMYFUNCTION("""COMPUTED_VALUE"""),4.0)</f>
        <v>4</v>
      </c>
      <c r="N164">
        <f>IFERROR(__xludf.DUMMYFUNCTION("""COMPUTED_VALUE"""),43536.0)</f>
        <v>43536</v>
      </c>
    </row>
    <row r="165">
      <c r="A165">
        <f>IFERROR(__xludf.DUMMYFUNCTION("""COMPUTED_VALUE"""),883.0)</f>
        <v>883</v>
      </c>
      <c r="B165">
        <f>IFERROR(__xludf.DUMMYFUNCTION("""COMPUTED_VALUE"""),40.665982)</f>
        <v>40.665982</v>
      </c>
      <c r="C165">
        <f>IFERROR(__xludf.DUMMYFUNCTION("""COMPUTED_VALUE"""),16.61084)</f>
        <v>16.61084</v>
      </c>
      <c r="D165" t="str">
        <f>IFERROR(__xludf.DUMMYFUNCTION("""COMPUTED_VALUE"""),"Affittacamere")</f>
        <v>Affittacamere</v>
      </c>
      <c r="E165" t="str">
        <f>IFERROR(__xludf.DUMMYFUNCTION("""COMPUTED_VALUE"""),"LA ROSA DEI SASSI")</f>
        <v>LA ROSA DEI SASSI</v>
      </c>
      <c r="F165" t="str">
        <f>IFERROR(__xludf.DUMMYFUNCTION("""COMPUTED_VALUE"""),"AGRIRISTORIES SRLS")</f>
        <v>AGRIRISTORIES SRLS</v>
      </c>
      <c r="G165" t="str">
        <f>IFERROR(__xludf.DUMMYFUNCTION("""COMPUTED_VALUE"""),"RECINTO CASTELVECCHIO 5/3")</f>
        <v>RECINTO CASTELVECCHIO 5/3</v>
      </c>
      <c r="H165" t="str">
        <f>IFERROR(__xludf.DUMMYFUNCTION("""COMPUTED_VALUE"""),"Matera")</f>
        <v>Matera</v>
      </c>
      <c r="I165" t="str">
        <f>IFERROR(__xludf.DUMMYFUNCTION("""COMPUTED_VALUE"""),"")</f>
        <v/>
      </c>
      <c r="J165" t="str">
        <f>IFERROR(__xludf.DUMMYFUNCTION("""COMPUTED_VALUE"""),"")</f>
        <v/>
      </c>
      <c r="K165" t="str">
        <f>IFERROR(__xludf.DUMMYFUNCTION("""COMPUTED_VALUE"""),"Italy")</f>
        <v>Italy</v>
      </c>
      <c r="L165" t="str">
        <f>IFERROR(__xludf.DUMMYFUNCTION("""COMPUTED_VALUE"""),"")</f>
        <v/>
      </c>
      <c r="M165" t="str">
        <f>IFERROR(__xludf.DUMMYFUNCTION("""COMPUTED_VALUE"""),"")</f>
        <v/>
      </c>
      <c r="N165">
        <f>IFERROR(__xludf.DUMMYFUNCTION("""COMPUTED_VALUE"""),43537.0)</f>
        <v>43537</v>
      </c>
    </row>
    <row r="166">
      <c r="A166">
        <f>IFERROR(__xludf.DUMMYFUNCTION("""COMPUTED_VALUE"""),884.0)</f>
        <v>884</v>
      </c>
      <c r="B166">
        <f>IFERROR(__xludf.DUMMYFUNCTION("""COMPUTED_VALUE"""),40.665958)</f>
        <v>40.665958</v>
      </c>
      <c r="C166">
        <f>IFERROR(__xludf.DUMMYFUNCTION("""COMPUTED_VALUE"""),16.610867)</f>
        <v>16.610867</v>
      </c>
      <c r="D166" t="str">
        <f>IFERROR(__xludf.DUMMYFUNCTION("""COMPUTED_VALUE"""),"Affittacamere")</f>
        <v>Affittacamere</v>
      </c>
      <c r="E166" t="str">
        <f>IFERROR(__xludf.DUMMYFUNCTION("""COMPUTED_VALUE"""),"LA ROSA DEI SASSI2")</f>
        <v>LA ROSA DEI SASSI2</v>
      </c>
      <c r="F166" t="str">
        <f>IFERROR(__xludf.DUMMYFUNCTION("""COMPUTED_VALUE"""),"AGRIRISTORIES SRLS")</f>
        <v>AGRIRISTORIES SRLS</v>
      </c>
      <c r="G166" t="str">
        <f>IFERROR(__xludf.DUMMYFUNCTION("""COMPUTED_VALUE"""),"RECINTO CASTELVECCHIO 15")</f>
        <v>RECINTO CASTELVECCHIO 15</v>
      </c>
      <c r="H166" t="str">
        <f>IFERROR(__xludf.DUMMYFUNCTION("""COMPUTED_VALUE"""),"Matera")</f>
        <v>Matera</v>
      </c>
      <c r="I166" t="str">
        <f>IFERROR(__xludf.DUMMYFUNCTION("""COMPUTED_VALUE"""),"")</f>
        <v/>
      </c>
      <c r="J166" t="str">
        <f>IFERROR(__xludf.DUMMYFUNCTION("""COMPUTED_VALUE"""),"")</f>
        <v/>
      </c>
      <c r="K166" t="str">
        <f>IFERROR(__xludf.DUMMYFUNCTION("""COMPUTED_VALUE"""),"Italy")</f>
        <v>Italy</v>
      </c>
      <c r="L166" t="str">
        <f>IFERROR(__xludf.DUMMYFUNCTION("""COMPUTED_VALUE"""),"")</f>
        <v/>
      </c>
      <c r="M166" t="str">
        <f>IFERROR(__xludf.DUMMYFUNCTION("""COMPUTED_VALUE"""),"")</f>
        <v/>
      </c>
      <c r="N166">
        <f>IFERROR(__xludf.DUMMYFUNCTION("""COMPUTED_VALUE"""),43537.0)</f>
        <v>43537</v>
      </c>
    </row>
    <row r="167">
      <c r="A167">
        <f>IFERROR(__xludf.DUMMYFUNCTION("""COMPUTED_VALUE"""),885.0)</f>
        <v>885</v>
      </c>
      <c r="B167">
        <f>IFERROR(__xludf.DUMMYFUNCTION("""COMPUTED_VALUE"""),40.662834)</f>
        <v>40.662834</v>
      </c>
      <c r="C167">
        <f>IFERROR(__xludf.DUMMYFUNCTION("""COMPUTED_VALUE"""),16.611346)</f>
        <v>16.611346</v>
      </c>
      <c r="D167" t="str">
        <f>IFERROR(__xludf.DUMMYFUNCTION("""COMPUTED_VALUE"""),"Affittacamere")</f>
        <v>Affittacamere</v>
      </c>
      <c r="E167" t="str">
        <f>IFERROR(__xludf.DUMMYFUNCTION("""COMPUTED_VALUE"""),"L'ARTIERE")</f>
        <v>L'ARTIERE</v>
      </c>
      <c r="F167" t="str">
        <f>IFERROR(__xludf.DUMMYFUNCTION("""COMPUTED_VALUE"""),"ETARIUM SAS DI VITULLI ISABELLA &amp; C.")</f>
        <v>ETARIUM SAS DI VITULLI ISABELLA &amp; C.</v>
      </c>
      <c r="G167" t="str">
        <f>IFERROR(__xludf.DUMMYFUNCTION("""COMPUTED_VALUE"""),"VIA CONCHE 15")</f>
        <v>VIA CONCHE 15</v>
      </c>
      <c r="H167" t="str">
        <f>IFERROR(__xludf.DUMMYFUNCTION("""COMPUTED_VALUE"""),"Matera")</f>
        <v>Matera</v>
      </c>
      <c r="I167">
        <f>IFERROR(__xludf.DUMMYFUNCTION("""COMPUTED_VALUE"""),159.0)</f>
        <v>159</v>
      </c>
      <c r="J167">
        <f>IFERROR(__xludf.DUMMYFUNCTION("""COMPUTED_VALUE"""),108.0)</f>
        <v>108</v>
      </c>
      <c r="K167" t="str">
        <f>IFERROR(__xludf.DUMMYFUNCTION("""COMPUTED_VALUE"""),"Italy")</f>
        <v>Italy</v>
      </c>
      <c r="L167">
        <f>IFERROR(__xludf.DUMMYFUNCTION("""COMPUTED_VALUE"""),2.0)</f>
        <v>2</v>
      </c>
      <c r="M167">
        <f>IFERROR(__xludf.DUMMYFUNCTION("""COMPUTED_VALUE"""),9.0)</f>
        <v>9</v>
      </c>
      <c r="N167">
        <f>IFERROR(__xludf.DUMMYFUNCTION("""COMPUTED_VALUE"""),43532.0)</f>
        <v>43532</v>
      </c>
    </row>
    <row r="168">
      <c r="A168">
        <f>IFERROR(__xludf.DUMMYFUNCTION("""COMPUTED_VALUE"""),886.0)</f>
        <v>886</v>
      </c>
      <c r="B168">
        <f>IFERROR(__xludf.DUMMYFUNCTION("""COMPUTED_VALUE"""),40.6619)</f>
        <v>40.6619</v>
      </c>
      <c r="C168">
        <f>IFERROR(__xludf.DUMMYFUNCTION("""COMPUTED_VALUE"""),16.6113)</f>
        <v>16.6113</v>
      </c>
      <c r="D168" t="str">
        <f>IFERROR(__xludf.DUMMYFUNCTION("""COMPUTED_VALUE"""),"Affittacamere")</f>
        <v>Affittacamere</v>
      </c>
      <c r="E168" t="str">
        <f>IFERROR(__xludf.DUMMYFUNCTION("""COMPUTED_VALUE"""),"LE GROTTE DEL CAVEOSO")</f>
        <v>LE GROTTE DEL CAVEOSO</v>
      </c>
      <c r="F168" t="str">
        <f>IFERROR(__xludf.DUMMYFUNCTION("""COMPUTED_VALUE"""),"FRANCESCO PAOLICELLI")</f>
        <v>FRANCESCO PAOLICELLI</v>
      </c>
      <c r="G168" t="str">
        <f>IFERROR(__xludf.DUMMYFUNCTION("""COMPUTED_VALUE"""),"VICO DI VIA CONCHE 2 2A 3 4 ")</f>
        <v>VICO DI VIA CONCHE 2 2A 3 4 </v>
      </c>
      <c r="H168" t="str">
        <f>IFERROR(__xludf.DUMMYFUNCTION("""COMPUTED_VALUE"""),"Matera")</f>
        <v>Matera</v>
      </c>
      <c r="I168">
        <f>IFERROR(__xludf.DUMMYFUNCTION("""COMPUTED_VALUE"""),159.0)</f>
        <v>159</v>
      </c>
      <c r="J168">
        <f>IFERROR(__xludf.DUMMYFUNCTION("""COMPUTED_VALUE"""),2302.0)</f>
        <v>2302</v>
      </c>
      <c r="K168" t="str">
        <f>IFERROR(__xludf.DUMMYFUNCTION("""COMPUTED_VALUE"""),"Italy")</f>
        <v>Italy</v>
      </c>
      <c r="L168">
        <f>IFERROR(__xludf.DUMMYFUNCTION("""COMPUTED_VALUE"""),23.0)</f>
        <v>23</v>
      </c>
      <c r="M168">
        <f>IFERROR(__xludf.DUMMYFUNCTION("""COMPUTED_VALUE"""),15.0)</f>
        <v>15</v>
      </c>
      <c r="N168">
        <f>IFERROR(__xludf.DUMMYFUNCTION("""COMPUTED_VALUE"""),43539.0)</f>
        <v>43539</v>
      </c>
    </row>
    <row r="169">
      <c r="A169">
        <f>IFERROR(__xludf.DUMMYFUNCTION("""COMPUTED_VALUE"""),887.0)</f>
        <v>887</v>
      </c>
      <c r="B169">
        <f>IFERROR(__xludf.DUMMYFUNCTION("""COMPUTED_VALUE"""),40.682408)</f>
        <v>40.682408</v>
      </c>
      <c r="C169">
        <f>IFERROR(__xludf.DUMMYFUNCTION("""COMPUTED_VALUE"""),16.580974)</f>
        <v>16.580974</v>
      </c>
      <c r="D169" t="str">
        <f>IFERROR(__xludf.DUMMYFUNCTION("""COMPUTED_VALUE"""),"Affittacamere")</f>
        <v>Affittacamere</v>
      </c>
      <c r="E169" t="str">
        <f>IFERROR(__xludf.DUMMYFUNCTION("""COMPUTED_VALUE"""),"AQUARIUM")</f>
        <v>AQUARIUM</v>
      </c>
      <c r="F169" t="str">
        <f>IFERROR(__xludf.DUMMYFUNCTION("""COMPUTED_VALUE"""),"RUSCIGNO MICHELA")</f>
        <v>RUSCIGNO MICHELA</v>
      </c>
      <c r="G169" t="str">
        <f>IFERROR(__xludf.DUMMYFUNCTION("""COMPUTED_VALUE"""),"VIA DONIZETTI 8")</f>
        <v>VIA DONIZETTI 8</v>
      </c>
      <c r="H169" t="str">
        <f>IFERROR(__xludf.DUMMYFUNCTION("""COMPUTED_VALUE"""),"Matera")</f>
        <v>Matera</v>
      </c>
      <c r="I169">
        <f>IFERROR(__xludf.DUMMYFUNCTION("""COMPUTED_VALUE"""),51.0)</f>
        <v>51</v>
      </c>
      <c r="J169">
        <f>IFERROR(__xludf.DUMMYFUNCTION("""COMPUTED_VALUE"""),1688.0)</f>
        <v>1688</v>
      </c>
      <c r="K169" t="str">
        <f>IFERROR(__xludf.DUMMYFUNCTION("""COMPUTED_VALUE"""),"Italy")</f>
        <v>Italy</v>
      </c>
      <c r="L169">
        <f>IFERROR(__xludf.DUMMYFUNCTION("""COMPUTED_VALUE"""),12.0)</f>
        <v>12</v>
      </c>
      <c r="M169">
        <f>IFERROR(__xludf.DUMMYFUNCTION("""COMPUTED_VALUE"""),7.0)</f>
        <v>7</v>
      </c>
      <c r="N169">
        <f>IFERROR(__xludf.DUMMYFUNCTION("""COMPUTED_VALUE"""),43567.0)</f>
        <v>43567</v>
      </c>
    </row>
    <row r="170">
      <c r="A170" t="str">
        <f>IFERROR(__xludf.DUMMYFUNCTION("""COMPUTED_VALUE"""),"")</f>
        <v/>
      </c>
      <c r="B170" t="str">
        <f>IFERROR(__xludf.DUMMYFUNCTION("""COMPUTED_VALUE"""),"")</f>
        <v/>
      </c>
      <c r="C170" t="str">
        <f>IFERROR(__xludf.DUMMYFUNCTION("""COMPUTED_VALUE"""),"")</f>
        <v/>
      </c>
      <c r="D170" t="str">
        <f>IFERROR(__xludf.DUMMYFUNCTION("""COMPUTED_VALUE"""),"Affittacamere")</f>
        <v>Affittacamere</v>
      </c>
      <c r="E170" t="str">
        <f>IFERROR(__xludf.DUMMYFUNCTION("""COMPUTED_VALUE"""),"LIVINGSTONE")</f>
        <v>LIVINGSTONE</v>
      </c>
      <c r="F170" t="str">
        <f>IFERROR(__xludf.DUMMYFUNCTION("""COMPUTED_VALUE"""),"BRUNA TATARANNI")</f>
        <v>BRUNA TATARANNI</v>
      </c>
      <c r="G170" t="str">
        <f>IFERROR(__xludf.DUMMYFUNCTION("""COMPUTED_VALUE"""),"VIA LUCANA 107")</f>
        <v>VIA LUCANA 107</v>
      </c>
      <c r="H170" t="str">
        <f>IFERROR(__xludf.DUMMYFUNCTION("""COMPUTED_VALUE"""),"Matera")</f>
        <v>Matera</v>
      </c>
      <c r="I170">
        <f>IFERROR(__xludf.DUMMYFUNCTION("""COMPUTED_VALUE"""),159.0)</f>
        <v>159</v>
      </c>
      <c r="J170">
        <f>IFERROR(__xludf.DUMMYFUNCTION("""COMPUTED_VALUE"""),3963.0)</f>
        <v>3963</v>
      </c>
      <c r="K170" t="str">
        <f>IFERROR(__xludf.DUMMYFUNCTION("""COMPUTED_VALUE"""),"Italy")</f>
        <v>Italy</v>
      </c>
      <c r="L170">
        <f>IFERROR(__xludf.DUMMYFUNCTION("""COMPUTED_VALUE"""),6.0)</f>
        <v>6</v>
      </c>
      <c r="M170">
        <f>IFERROR(__xludf.DUMMYFUNCTION("""COMPUTED_VALUE"""),8.0)</f>
        <v>8</v>
      </c>
      <c r="N170">
        <f>IFERROR(__xludf.DUMMYFUNCTION("""COMPUTED_VALUE"""),43585.0)</f>
        <v>43585</v>
      </c>
    </row>
    <row r="171">
      <c r="A171" t="str">
        <f>IFERROR(__xludf.DUMMYFUNCTION("""COMPUTED_VALUE"""),"")</f>
        <v/>
      </c>
      <c r="B171" t="str">
        <f>IFERROR(__xludf.DUMMYFUNCTION("""COMPUTED_VALUE"""),"")</f>
        <v/>
      </c>
      <c r="C171" t="str">
        <f>IFERROR(__xludf.DUMMYFUNCTION("""COMPUTED_VALUE"""),"")</f>
        <v/>
      </c>
      <c r="D171" t="str">
        <f>IFERROR(__xludf.DUMMYFUNCTION("""COMPUTED_VALUE"""),"Affittacamere")</f>
        <v>Affittacamere</v>
      </c>
      <c r="E171" t="str">
        <f>IFERROR(__xludf.DUMMYFUNCTION("""COMPUTED_VALUE"""),"DUE FORNI")</f>
        <v>DUE FORNI</v>
      </c>
      <c r="F171" t="str">
        <f>IFERROR(__xludf.DUMMYFUNCTION("""COMPUTED_VALUE"""),"CHIEFA ALESSANDRO")</f>
        <v>CHIEFA ALESSANDRO</v>
      </c>
      <c r="G171" t="str">
        <f>IFERROR(__xludf.DUMMYFUNCTION("""COMPUTED_VALUE"""),"VIA FIORENTINI 185 187")</f>
        <v>VIA FIORENTINI 185 187</v>
      </c>
      <c r="H171" t="str">
        <f>IFERROR(__xludf.DUMMYFUNCTION("""COMPUTED_VALUE"""),"Matera")</f>
        <v>Matera</v>
      </c>
      <c r="I171">
        <f>IFERROR(__xludf.DUMMYFUNCTION("""COMPUTED_VALUE"""),159.0)</f>
        <v>159</v>
      </c>
      <c r="J171">
        <f>IFERROR(__xludf.DUMMYFUNCTION("""COMPUTED_VALUE"""),379.0)</f>
        <v>379</v>
      </c>
      <c r="K171" t="str">
        <f>IFERROR(__xludf.DUMMYFUNCTION("""COMPUTED_VALUE"""),"Italy")</f>
        <v>Italy</v>
      </c>
      <c r="L171">
        <f>IFERROR(__xludf.DUMMYFUNCTION("""COMPUTED_VALUE"""),2.0)</f>
        <v>2</v>
      </c>
      <c r="M171">
        <f>IFERROR(__xludf.DUMMYFUNCTION("""COMPUTED_VALUE"""),12.0)</f>
        <v>12</v>
      </c>
      <c r="N171">
        <f>IFERROR(__xludf.DUMMYFUNCTION("""COMPUTED_VALUE"""),43557.0)</f>
        <v>43557</v>
      </c>
    </row>
    <row r="172">
      <c r="A172" t="str">
        <f>IFERROR(__xludf.DUMMYFUNCTION("""COMPUTED_VALUE"""),"")</f>
        <v/>
      </c>
      <c r="B172" t="str">
        <f>IFERROR(__xludf.DUMMYFUNCTION("""COMPUTED_VALUE"""),"")</f>
        <v/>
      </c>
      <c r="C172" t="str">
        <f>IFERROR(__xludf.DUMMYFUNCTION("""COMPUTED_VALUE"""),"")</f>
        <v/>
      </c>
      <c r="D172" t="str">
        <f>IFERROR(__xludf.DUMMYFUNCTION("""COMPUTED_VALUE"""),"Affittacamere")</f>
        <v>Affittacamere</v>
      </c>
      <c r="E172" t="str">
        <f>IFERROR(__xludf.DUMMYFUNCTION("""COMPUTED_VALUE"""),"LA ROSA DEI SASSI2")</f>
        <v>LA ROSA DEI SASSI2</v>
      </c>
      <c r="F172" t="str">
        <f>IFERROR(__xludf.DUMMYFUNCTION("""COMPUTED_VALUE"""),"AGRISTORIES SARLS")</f>
        <v>AGRISTORIES SARLS</v>
      </c>
      <c r="G172" t="str">
        <f>IFERROR(__xludf.DUMMYFUNCTION("""COMPUTED_VALUE"""),"RECINTO CASTELVECCHIO 15")</f>
        <v>RECINTO CASTELVECCHIO 15</v>
      </c>
      <c r="H172" t="str">
        <f>IFERROR(__xludf.DUMMYFUNCTION("""COMPUTED_VALUE"""),"Matera")</f>
        <v>Matera</v>
      </c>
      <c r="I172">
        <f>IFERROR(__xludf.DUMMYFUNCTION("""COMPUTED_VALUE"""),159.0)</f>
        <v>159</v>
      </c>
      <c r="J172">
        <f>IFERROR(__xludf.DUMMYFUNCTION("""COMPUTED_VALUE"""),1529.0)</f>
        <v>1529</v>
      </c>
      <c r="K172" t="str">
        <f>IFERROR(__xludf.DUMMYFUNCTION("""COMPUTED_VALUE"""),"Italy")</f>
        <v>Italy</v>
      </c>
      <c r="L172">
        <f>IFERROR(__xludf.DUMMYFUNCTION("""COMPUTED_VALUE"""),1.0)</f>
        <v>1</v>
      </c>
      <c r="M172">
        <f>IFERROR(__xludf.DUMMYFUNCTION("""COMPUTED_VALUE"""),4.0)</f>
        <v>4</v>
      </c>
      <c r="N172">
        <f>IFERROR(__xludf.DUMMYFUNCTION("""COMPUTED_VALUE"""),43537.0)</f>
        <v>43537</v>
      </c>
    </row>
    <row r="173">
      <c r="A173" t="str">
        <f>IFERROR(__xludf.DUMMYFUNCTION("""COMPUTED_VALUE"""),"")</f>
        <v/>
      </c>
      <c r="B173" t="str">
        <f>IFERROR(__xludf.DUMMYFUNCTION("""COMPUTED_VALUE"""),"")</f>
        <v/>
      </c>
      <c r="C173" t="str">
        <f>IFERROR(__xludf.DUMMYFUNCTION("""COMPUTED_VALUE"""),"")</f>
        <v/>
      </c>
      <c r="D173" t="str">
        <f>IFERROR(__xludf.DUMMYFUNCTION("""COMPUTED_VALUE"""),"Affittacamere")</f>
        <v>Affittacamere</v>
      </c>
      <c r="E173" t="str">
        <f>IFERROR(__xludf.DUMMYFUNCTION("""COMPUTED_VALUE"""),"LA ROSA DEI SASSI")</f>
        <v>LA ROSA DEI SASSI</v>
      </c>
      <c r="F173" t="str">
        <f>IFERROR(__xludf.DUMMYFUNCTION("""COMPUTED_VALUE"""),"AGRISTORIES SARLS")</f>
        <v>AGRISTORIES SARLS</v>
      </c>
      <c r="G173" t="str">
        <f>IFERROR(__xludf.DUMMYFUNCTION("""COMPUTED_VALUE"""),"RECINTO CASTELVECCHIO 5/3")</f>
        <v>RECINTO CASTELVECCHIO 5/3</v>
      </c>
      <c r="H173" t="str">
        <f>IFERROR(__xludf.DUMMYFUNCTION("""COMPUTED_VALUE"""),"Matera")</f>
        <v>Matera</v>
      </c>
      <c r="I173">
        <f>IFERROR(__xludf.DUMMYFUNCTION("""COMPUTED_VALUE"""),159.0)</f>
        <v>159</v>
      </c>
      <c r="J173">
        <f>IFERROR(__xludf.DUMMYFUNCTION("""COMPUTED_VALUE"""),1529.0)</f>
        <v>1529</v>
      </c>
      <c r="K173" t="str">
        <f>IFERROR(__xludf.DUMMYFUNCTION("""COMPUTED_VALUE"""),"Italy")</f>
        <v>Italy</v>
      </c>
      <c r="L173">
        <f>IFERROR(__xludf.DUMMYFUNCTION("""COMPUTED_VALUE"""),17.0)</f>
        <v>17</v>
      </c>
      <c r="M173">
        <f>IFERROR(__xludf.DUMMYFUNCTION("""COMPUTED_VALUE"""),2.0)</f>
        <v>2</v>
      </c>
      <c r="N173">
        <f>IFERROR(__xludf.DUMMYFUNCTION("""COMPUTED_VALUE"""),43537.0)</f>
        <v>43537</v>
      </c>
    </row>
    <row r="174">
      <c r="A174" t="str">
        <f>IFERROR(__xludf.DUMMYFUNCTION("""COMPUTED_VALUE"""),"")</f>
        <v/>
      </c>
      <c r="B174" t="str">
        <f>IFERROR(__xludf.DUMMYFUNCTION("""COMPUTED_VALUE"""),"")</f>
        <v/>
      </c>
      <c r="C174" t="str">
        <f>IFERROR(__xludf.DUMMYFUNCTION("""COMPUTED_VALUE"""),"")</f>
        <v/>
      </c>
      <c r="D174" t="str">
        <f>IFERROR(__xludf.DUMMYFUNCTION("""COMPUTED_VALUE"""),"Affittacamere")</f>
        <v>Affittacamere</v>
      </c>
      <c r="E174" t="str">
        <f>IFERROR(__xludf.DUMMYFUNCTION("""COMPUTED_VALUE"""),"ESSENZE HOME GALLERY")</f>
        <v>ESSENZE HOME GALLERY</v>
      </c>
      <c r="F174" t="str">
        <f>IFERROR(__xludf.DUMMYFUNCTION("""COMPUTED_VALUE"""),"WELCOME MATERA SRL")</f>
        <v>WELCOME MATERA SRL</v>
      </c>
      <c r="G174" t="str">
        <f>IFERROR(__xludf.DUMMYFUNCTION("""COMPUTED_VALUE"""),"RECINTO MARIO PAGANO 13")</f>
        <v>RECINTO MARIO PAGANO 13</v>
      </c>
      <c r="H174" t="str">
        <f>IFERROR(__xludf.DUMMYFUNCTION("""COMPUTED_VALUE"""),"Matera")</f>
        <v>Matera</v>
      </c>
      <c r="I174">
        <f>IFERROR(__xludf.DUMMYFUNCTION("""COMPUTED_VALUE"""),159.0)</f>
        <v>159</v>
      </c>
      <c r="J174">
        <f>IFERROR(__xludf.DUMMYFUNCTION("""COMPUTED_VALUE"""),863.0)</f>
        <v>863</v>
      </c>
      <c r="K174" t="str">
        <f>IFERROR(__xludf.DUMMYFUNCTION("""COMPUTED_VALUE"""),"Italy")</f>
        <v>Italy</v>
      </c>
      <c r="L174">
        <f>IFERROR(__xludf.DUMMYFUNCTION("""COMPUTED_VALUE"""),16.0)</f>
        <v>16</v>
      </c>
      <c r="M174">
        <f>IFERROR(__xludf.DUMMYFUNCTION("""COMPUTED_VALUE"""),12.0)</f>
        <v>12</v>
      </c>
      <c r="N174">
        <f>IFERROR(__xludf.DUMMYFUNCTION("""COMPUTED_VALUE"""),43595.0)</f>
        <v>43595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IFERROR(__xludf.DUMMYFUNCTION("IMPORTDATA(""https://docs.google.com/spreadsheets/d/e/2PACX-1vQhsSiULIL-ExcAIR3nhBiOSS0Qwrhzu_qmdZFQbpQYjeNV268U8Llg4i0l5RVyDJqLflxDpJdHLJxO/pub?gid=1064163065&amp;single=true&amp;output=csv"")"),"ID")</f>
        <v>ID</v>
      </c>
      <c r="B1" t="str">
        <f>IFERROR(__xludf.DUMMYFUNCTION("""COMPUTED_VALUE"""),"LAT")</f>
        <v>LAT</v>
      </c>
      <c r="C1" t="str">
        <f>IFERROR(__xludf.DUMMYFUNCTION("""COMPUTED_VALUE"""),"LON")</f>
        <v>LON</v>
      </c>
      <c r="D1" t="str">
        <f>IFERROR(__xludf.DUMMYFUNCTION("""COMPUTED_VALUE"""),"TIPOLOGIA")</f>
        <v>TIPOLOGIA</v>
      </c>
      <c r="E1" t="str">
        <f>IFERROR(__xludf.DUMMYFUNCTION("""COMPUTED_VALUE"""),"name")</f>
        <v>name</v>
      </c>
      <c r="F1" t="str">
        <f>IFERROR(__xludf.DUMMYFUNCTION("""COMPUTED_VALUE"""),"LEGALE_RA")</f>
        <v>LEGALE_RA</v>
      </c>
      <c r="G1" t="str">
        <f>IFERROR(__xludf.DUMMYFUNCTION("""COMPUTED_VALUE"""),"UBICAZIONE")</f>
        <v>UBICAZIONE</v>
      </c>
      <c r="H1" t="str">
        <f>IFERROR(__xludf.DUMMYFUNCTION("""COMPUTED_VALUE"""),"City")</f>
        <v>City</v>
      </c>
      <c r="I1" t="str">
        <f>IFERROR(__xludf.DUMMYFUNCTION("""COMPUTED_VALUE"""),"Country")</f>
        <v>Country</v>
      </c>
      <c r="J1" t="str">
        <f>IFERROR(__xludf.DUMMYFUNCTION("""COMPUTED_VALUE"""),"INIZIO ATTIVITA'")</f>
        <v>INIZIO ATTIVITA'</v>
      </c>
      <c r="K1" t="str">
        <f>IFERROR(__xludf.DUMMYFUNCTION("""COMPUTED_VALUE"""),"POSTI LETTO")</f>
        <v>POSTI LETTO</v>
      </c>
    </row>
    <row r="2">
      <c r="A2">
        <f>IFERROR(__xludf.DUMMYFUNCTION("""COMPUTED_VALUE"""),432.0)</f>
        <v>432</v>
      </c>
      <c r="B2">
        <f>IFERROR(__xludf.DUMMYFUNCTION("""COMPUTED_VALUE"""),40.652006)</f>
        <v>40.652006</v>
      </c>
      <c r="C2">
        <f>IFERROR(__xludf.DUMMYFUNCTION("""COMPUTED_VALUE"""),16.528981)</f>
        <v>16.528981</v>
      </c>
      <c r="D2" t="str">
        <f>IFERROR(__xludf.DUMMYFUNCTION("""COMPUTED_VALUE"""),"Agriturismo")</f>
        <v>Agriturismo</v>
      </c>
      <c r="E2" t="str">
        <f>IFERROR(__xludf.DUMMYFUNCTION("""COMPUTED_VALUE"""),"AGRITURISMO COLLE IGINO")</f>
        <v>AGRITURISMO COLLE IGINO</v>
      </c>
      <c r="F2" t="str">
        <f>IFERROR(__xludf.DUMMYFUNCTION("""COMPUTED_VALUE"""),"RICCARDI ANGELA")</f>
        <v>RICCARDI ANGELA</v>
      </c>
      <c r="G2" t="str">
        <f>IFERROR(__xludf.DUMMYFUNCTION("""COMPUTED_VALUE"""),"Contrada Colle Igino")</f>
        <v>Contrada Colle Igino</v>
      </c>
      <c r="H2" t="str">
        <f>IFERROR(__xludf.DUMMYFUNCTION("""COMPUTED_VALUE"""),"Matera")</f>
        <v>Matera</v>
      </c>
      <c r="I2" t="str">
        <f>IFERROR(__xludf.DUMMYFUNCTION("""COMPUTED_VALUE"""),"Italy")</f>
        <v>Italy</v>
      </c>
      <c r="J2" t="str">
        <f>IFERROR(__xludf.DUMMYFUNCTION("""COMPUTED_VALUE"""),"")</f>
        <v/>
      </c>
      <c r="K2" t="str">
        <f>IFERROR(__xludf.DUMMYFUNCTION("""COMPUTED_VALUE"""),"")</f>
        <v/>
      </c>
    </row>
    <row r="3">
      <c r="A3">
        <f>IFERROR(__xludf.DUMMYFUNCTION("""COMPUTED_VALUE"""),433.0)</f>
        <v>433</v>
      </c>
      <c r="B3">
        <f>IFERROR(__xludf.DUMMYFUNCTION("""COMPUTED_VALUE"""),40.697225)</f>
        <v>40.697225</v>
      </c>
      <c r="C3">
        <f>IFERROR(__xludf.DUMMYFUNCTION("""COMPUTED_VALUE"""),16.529445)</f>
        <v>16.529445</v>
      </c>
      <c r="D3" t="str">
        <f>IFERROR(__xludf.DUMMYFUNCTION("""COMPUTED_VALUE"""),"Agriturismo")</f>
        <v>Agriturismo</v>
      </c>
      <c r="E3" t="str">
        <f>IFERROR(__xludf.DUMMYFUNCTION("""COMPUTED_VALUE"""),"MATINELLE")</f>
        <v>MATINELLE</v>
      </c>
      <c r="F3" t="str">
        <f>IFERROR(__xludf.DUMMYFUNCTION("""COMPUTED_VALUE"""),"CARDINALE DOMENICO")</f>
        <v>CARDINALE DOMENICO</v>
      </c>
      <c r="G3" t="str">
        <f>IFERROR(__xludf.DUMMYFUNCTION("""COMPUTED_VALUE"""),"Contrada Matinelle")</f>
        <v>Contrada Matinelle</v>
      </c>
      <c r="H3" t="str">
        <f>IFERROR(__xludf.DUMMYFUNCTION("""COMPUTED_VALUE"""),"Matera")</f>
        <v>Matera</v>
      </c>
      <c r="I3" t="str">
        <f>IFERROR(__xludf.DUMMYFUNCTION("""COMPUTED_VALUE"""),"Italy")</f>
        <v>Italy</v>
      </c>
      <c r="J3" t="str">
        <f>IFERROR(__xludf.DUMMYFUNCTION("""COMPUTED_VALUE"""),"")</f>
        <v/>
      </c>
      <c r="K3" t="str">
        <f>IFERROR(__xludf.DUMMYFUNCTION("""COMPUTED_VALUE"""),"")</f>
        <v/>
      </c>
    </row>
    <row r="4">
      <c r="A4">
        <f>IFERROR(__xludf.DUMMYFUNCTION("""COMPUTED_VALUE"""),434.0)</f>
        <v>434</v>
      </c>
      <c r="B4">
        <f>IFERROR(__xludf.DUMMYFUNCTION("""COMPUTED_VALUE"""),40.6662162)</f>
        <v>40.6662162</v>
      </c>
      <c r="C4">
        <f>IFERROR(__xludf.DUMMYFUNCTION("""COMPUTED_VALUE"""),16.4406633)</f>
        <v>16.4406633</v>
      </c>
      <c r="D4" t="str">
        <f>IFERROR(__xludf.DUMMYFUNCTION("""COMPUTED_VALUE"""),"Agriturismo")</f>
        <v>Agriturismo</v>
      </c>
      <c r="E4" t="str">
        <f>IFERROR(__xludf.DUMMYFUNCTION("""COMPUTED_VALUE"""),"TEMPA BIANCA")</f>
        <v>TEMPA BIANCA</v>
      </c>
      <c r="F4" t="str">
        <f>IFERROR(__xludf.DUMMYFUNCTION("""COMPUTED_VALUE"""),"RICCARDI EUSTACHIO")</f>
        <v>RICCARDI EUSTACHIO</v>
      </c>
      <c r="G4" t="str">
        <f>IFERROR(__xludf.DUMMYFUNCTION("""COMPUTED_VALUE"""),"Contrada Rifeccia")</f>
        <v>Contrada Rifeccia</v>
      </c>
      <c r="H4" t="str">
        <f>IFERROR(__xludf.DUMMYFUNCTION("""COMPUTED_VALUE"""),"Matera")</f>
        <v>Matera</v>
      </c>
      <c r="I4" t="str">
        <f>IFERROR(__xludf.DUMMYFUNCTION("""COMPUTED_VALUE"""),"Italy")</f>
        <v>Italy</v>
      </c>
      <c r="J4" t="str">
        <f>IFERROR(__xludf.DUMMYFUNCTION("""COMPUTED_VALUE"""),"")</f>
        <v/>
      </c>
      <c r="K4" t="str">
        <f>IFERROR(__xludf.DUMMYFUNCTION("""COMPUTED_VALUE"""),"")</f>
        <v/>
      </c>
    </row>
    <row r="5">
      <c r="A5">
        <f>IFERROR(__xludf.DUMMYFUNCTION("""COMPUTED_VALUE"""),435.0)</f>
        <v>435</v>
      </c>
      <c r="B5">
        <f>IFERROR(__xludf.DUMMYFUNCTION("""COMPUTED_VALUE"""),40.6749)</f>
        <v>40.6749</v>
      </c>
      <c r="C5">
        <f>IFERROR(__xludf.DUMMYFUNCTION("""COMPUTED_VALUE"""),16.64508)</f>
        <v>16.64508</v>
      </c>
      <c r="D5" t="str">
        <f>IFERROR(__xludf.DUMMYFUNCTION("""COMPUTED_VALUE"""),"Agriturismo")</f>
        <v>Agriturismo</v>
      </c>
      <c r="E5" t="str">
        <f>IFERROR(__xludf.DUMMYFUNCTION("""COMPUTED_VALUE"""),"NONNA ROSA")</f>
        <v>NONNA ROSA</v>
      </c>
      <c r="F5" t="str">
        <f>IFERROR(__xludf.DUMMYFUNCTION("""COMPUTED_VALUE"""),"DI LECCE MICHELE")</f>
        <v>DI LECCE MICHELE</v>
      </c>
      <c r="G5" t="str">
        <f>IFERROR(__xludf.DUMMYFUNCTION("""COMPUTED_VALUE"""),"contrada trasano")</f>
        <v>contrada trasano</v>
      </c>
      <c r="H5" t="str">
        <f>IFERROR(__xludf.DUMMYFUNCTION("""COMPUTED_VALUE"""),"Matera")</f>
        <v>Matera</v>
      </c>
      <c r="I5" t="str">
        <f>IFERROR(__xludf.DUMMYFUNCTION("""COMPUTED_VALUE"""),"Italy")</f>
        <v>Italy</v>
      </c>
      <c r="J5" t="str">
        <f>IFERROR(__xludf.DUMMYFUNCTION("""COMPUTED_VALUE"""),"")</f>
        <v/>
      </c>
      <c r="K5" t="str">
        <f>IFERROR(__xludf.DUMMYFUNCTION("""COMPUTED_VALUE"""),"")</f>
        <v/>
      </c>
    </row>
    <row r="6">
      <c r="A6">
        <f>IFERROR(__xludf.DUMMYFUNCTION("""COMPUTED_VALUE"""),436.0)</f>
        <v>436</v>
      </c>
      <c r="B6">
        <f>IFERROR(__xludf.DUMMYFUNCTION("""COMPUTED_VALUE"""),40.6879278)</f>
        <v>40.6879278</v>
      </c>
      <c r="C6">
        <f>IFERROR(__xludf.DUMMYFUNCTION("""COMPUTED_VALUE"""),16.6712004)</f>
        <v>16.6712004</v>
      </c>
      <c r="D6" t="str">
        <f>IFERROR(__xludf.DUMMYFUNCTION("""COMPUTED_VALUE"""),"Agriturismo")</f>
        <v>Agriturismo</v>
      </c>
      <c r="E6" t="str">
        <f>IFERROR(__xludf.DUMMYFUNCTION("""COMPUTED_VALUE"""),"TORRE SPAGNOLA")</f>
        <v>TORRE SPAGNOLA</v>
      </c>
      <c r="F6" t="str">
        <f>IFERROR(__xludf.DUMMYFUNCTION("""COMPUTED_VALUE"""),"DI MAURO NUNZIO")</f>
        <v>DI MAURO NUNZIO</v>
      </c>
      <c r="G6" t="str">
        <f>IFERROR(__xludf.DUMMYFUNCTION("""COMPUTED_VALUE"""),"Contrada Torre Spagnola")</f>
        <v>Contrada Torre Spagnola</v>
      </c>
      <c r="H6" t="str">
        <f>IFERROR(__xludf.DUMMYFUNCTION("""COMPUTED_VALUE"""),"Matera")</f>
        <v>Matera</v>
      </c>
      <c r="I6" t="str">
        <f>IFERROR(__xludf.DUMMYFUNCTION("""COMPUTED_VALUE"""),"Italy")</f>
        <v>Italy</v>
      </c>
      <c r="J6" t="str">
        <f>IFERROR(__xludf.DUMMYFUNCTION("""COMPUTED_VALUE"""),"")</f>
        <v/>
      </c>
      <c r="K6" t="str">
        <f>IFERROR(__xludf.DUMMYFUNCTION("""COMPUTED_VALUE"""),"")</f>
        <v/>
      </c>
    </row>
    <row r="7">
      <c r="A7">
        <f>IFERROR(__xludf.DUMMYFUNCTION("""COMPUTED_VALUE"""),792.0)</f>
        <v>792</v>
      </c>
      <c r="B7">
        <f>IFERROR(__xludf.DUMMYFUNCTION("""COMPUTED_VALUE"""),40.65229)</f>
        <v>40.65229</v>
      </c>
      <c r="C7">
        <f>IFERROR(__xludf.DUMMYFUNCTION("""COMPUTED_VALUE"""),16.607146)</f>
        <v>16.607146</v>
      </c>
      <c r="D7" t="str">
        <f>IFERROR(__xludf.DUMMYFUNCTION("""COMPUTED_VALUE"""),"Agriturismo")</f>
        <v>Agriturismo</v>
      </c>
      <c r="E7" t="str">
        <f>IFERROR(__xludf.DUMMYFUNCTION("""COMPUTED_VALUE"""),"AZIENDA AGRIT. MASSERIA PANTALEONE")</f>
        <v>AZIENDA AGRIT. MASSERIA PANTALEONE</v>
      </c>
      <c r="F7" t="str">
        <f>IFERROR(__xludf.DUMMYFUNCTION("""COMPUTED_VALUE"""),"LOPERFIDO ANGELO RAFFAELE")</f>
        <v>LOPERFIDO ANGELO RAFFAELE</v>
      </c>
      <c r="G7" t="str">
        <f>IFERROR(__xludf.DUMMYFUNCTION("""COMPUTED_VALUE"""),"Loc. Chiancalata C.da Scatolino")</f>
        <v>Loc. Chiancalata C.da Scatolino</v>
      </c>
      <c r="H7" t="str">
        <f>IFERROR(__xludf.DUMMYFUNCTION("""COMPUTED_VALUE"""),"Matera")</f>
        <v>Matera</v>
      </c>
      <c r="I7" t="str">
        <f>IFERROR(__xludf.DUMMYFUNCTION("""COMPUTED_VALUE"""),"Italy")</f>
        <v>Italy</v>
      </c>
      <c r="J7" t="str">
        <f>IFERROR(__xludf.DUMMYFUNCTION("""COMPUTED_VALUE"""),"")</f>
        <v/>
      </c>
      <c r="K7" t="str">
        <f>IFERROR(__xludf.DUMMYFUNCTION("""COMPUTED_VALUE"""),"")</f>
        <v/>
      </c>
    </row>
    <row r="8">
      <c r="A8">
        <f>IFERROR(__xludf.DUMMYFUNCTION("""COMPUTED_VALUE"""),793.0)</f>
        <v>793</v>
      </c>
      <c r="B8">
        <f>IFERROR(__xludf.DUMMYFUNCTION("""COMPUTED_VALUE"""),40.66102)</f>
        <v>40.66102</v>
      </c>
      <c r="C8">
        <f>IFERROR(__xludf.DUMMYFUNCTION("""COMPUTED_VALUE"""),16.52293)</f>
        <v>16.52293</v>
      </c>
      <c r="D8" t="str">
        <f>IFERROR(__xludf.DUMMYFUNCTION("""COMPUTED_VALUE"""),"Agriturismo")</f>
        <v>Agriturismo</v>
      </c>
      <c r="E8" t="str">
        <f>IFERROR(__xludf.DUMMYFUNCTION("""COMPUTED_VALUE"""),"MASSERIA SARRA")</f>
        <v>MASSERIA SARRA</v>
      </c>
      <c r="F8" t="str">
        <f>IFERROR(__xludf.DUMMYFUNCTION("""COMPUTED_VALUE"""),"DIPALMA ALESIO")</f>
        <v>DIPALMA ALESIO</v>
      </c>
      <c r="G8" t="str">
        <f>IFERROR(__xludf.DUMMYFUNCTION("""COMPUTED_VALUE"""),"Contrada Ponte Timmari")</f>
        <v>Contrada Ponte Timmari</v>
      </c>
      <c r="H8" t="str">
        <f>IFERROR(__xludf.DUMMYFUNCTION("""COMPUTED_VALUE"""),"Matera")</f>
        <v>Matera</v>
      </c>
      <c r="I8" t="str">
        <f>IFERROR(__xludf.DUMMYFUNCTION("""COMPUTED_VALUE"""),"Italy")</f>
        <v>Italy</v>
      </c>
      <c r="J8" t="str">
        <f>IFERROR(__xludf.DUMMYFUNCTION("""COMPUTED_VALUE"""),"")</f>
        <v/>
      </c>
      <c r="K8" t="str">
        <f>IFERROR(__xludf.DUMMYFUNCTION("""COMPUTED_VALUE"""),"")</f>
        <v/>
      </c>
    </row>
    <row r="9">
      <c r="A9">
        <f>IFERROR(__xludf.DUMMYFUNCTION("""COMPUTED_VALUE"""),794.0)</f>
        <v>794</v>
      </c>
      <c r="B9">
        <f>IFERROR(__xludf.DUMMYFUNCTION("""COMPUTED_VALUE"""),40.621778)</f>
        <v>40.621778</v>
      </c>
      <c r="C9">
        <f>IFERROR(__xludf.DUMMYFUNCTION("""COMPUTED_VALUE"""),16.515886)</f>
        <v>16.515886</v>
      </c>
      <c r="D9" t="str">
        <f>IFERROR(__xludf.DUMMYFUNCTION("""COMPUTED_VALUE"""),"Agriturismo")</f>
        <v>Agriturismo</v>
      </c>
      <c r="E9" t="str">
        <f>IFERROR(__xludf.DUMMYFUNCTION("""COMPUTED_VALUE"""),"VENTRICELLI")</f>
        <v>VENTRICELLI</v>
      </c>
      <c r="F9" t="str">
        <f>IFERROR(__xludf.DUMMYFUNCTION("""COMPUTED_VALUE"""),"VENTRICELLI ROSA")</f>
        <v>VENTRICELLI ROSA</v>
      </c>
      <c r="G9" t="str">
        <f>IFERROR(__xludf.DUMMYFUNCTION("""COMPUTED_VALUE"""),"Loc. Bradano Lauria - Diga San Giuliano")</f>
        <v>Loc. Bradano Lauria - Diga San Giuliano</v>
      </c>
      <c r="H9" t="str">
        <f>IFERROR(__xludf.DUMMYFUNCTION("""COMPUTED_VALUE"""),"Matera")</f>
        <v>Matera</v>
      </c>
      <c r="I9" t="str">
        <f>IFERROR(__xludf.DUMMYFUNCTION("""COMPUTED_VALUE"""),"Italy")</f>
        <v>Italy</v>
      </c>
      <c r="J9" t="str">
        <f>IFERROR(__xludf.DUMMYFUNCTION("""COMPUTED_VALUE"""),"")</f>
        <v/>
      </c>
      <c r="K9" t="str">
        <f>IFERROR(__xludf.DUMMYFUNCTION("""COMPUTED_VALUE"""),"")</f>
        <v/>
      </c>
    </row>
    <row r="10">
      <c r="A10">
        <f>IFERROR(__xludf.DUMMYFUNCTION("""COMPUTED_VALUE"""),795.0)</f>
        <v>795</v>
      </c>
      <c r="B10">
        <f>IFERROR(__xludf.DUMMYFUNCTION("""COMPUTED_VALUE"""),40.630808)</f>
        <v>40.630808</v>
      </c>
      <c r="C10">
        <f>IFERROR(__xludf.DUMMYFUNCTION("""COMPUTED_VALUE"""),16.585399)</f>
        <v>16.585399</v>
      </c>
      <c r="D10" t="str">
        <f>IFERROR(__xludf.DUMMYFUNCTION("""COMPUTED_VALUE"""),"Agriturismo")</f>
        <v>Agriturismo</v>
      </c>
      <c r="E10" t="str">
        <f>IFERROR(__xludf.DUMMYFUNCTION("""COMPUTED_VALUE"""),"TENUTA LAMACCHIA")</f>
        <v>TENUTA LAMACCHIA</v>
      </c>
      <c r="F10" t="str">
        <f>IFERROR(__xludf.DUMMYFUNCTION("""COMPUTED_VALUE"""),"")</f>
        <v/>
      </c>
      <c r="G10" t="str">
        <f>IFERROR(__xludf.DUMMYFUNCTION("""COMPUTED_VALUE"""),"")</f>
        <v/>
      </c>
      <c r="H10" t="str">
        <f>IFERROR(__xludf.DUMMYFUNCTION("""COMPUTED_VALUE"""),"Matera")</f>
        <v>Matera</v>
      </c>
      <c r="I10" t="str">
        <f>IFERROR(__xludf.DUMMYFUNCTION("""COMPUTED_VALUE"""),"Italy")</f>
        <v>Italy</v>
      </c>
      <c r="J10" t="str">
        <f>IFERROR(__xludf.DUMMYFUNCTION("""COMPUTED_VALUE"""),"")</f>
        <v/>
      </c>
      <c r="K10" t="str">
        <f>IFERROR(__xludf.DUMMYFUNCTION("""COMPUTED_VALUE"""),"")</f>
        <v/>
      </c>
    </row>
    <row r="11">
      <c r="A11">
        <f>IFERROR(__xludf.DUMMYFUNCTION("""COMPUTED_VALUE"""),796.0)</f>
        <v>796</v>
      </c>
      <c r="B11">
        <f>IFERROR(__xludf.DUMMYFUNCTION("""COMPUTED_VALUE"""),40.618643)</f>
        <v>40.618643</v>
      </c>
      <c r="C11">
        <f>IFERROR(__xludf.DUMMYFUNCTION("""COMPUTED_VALUE"""),16.557029)</f>
        <v>16.557029</v>
      </c>
      <c r="D11" t="str">
        <f>IFERROR(__xludf.DUMMYFUNCTION("""COMPUTED_VALUE"""),"Agriturismo")</f>
        <v>Agriturismo</v>
      </c>
      <c r="E11" t="str">
        <f>IFERROR(__xludf.DUMMYFUNCTION("""COMPUTED_VALUE"""),"CASAL DRAGONE")</f>
        <v>CASAL DRAGONE</v>
      </c>
      <c r="F11" t="str">
        <f>IFERROR(__xludf.DUMMYFUNCTION("""COMPUTED_VALUE"""),"")</f>
        <v/>
      </c>
      <c r="G11" t="str">
        <f>IFERROR(__xludf.DUMMYFUNCTION("""COMPUTED_VALUE"""),"")</f>
        <v/>
      </c>
      <c r="H11" t="str">
        <f>IFERROR(__xludf.DUMMYFUNCTION("""COMPUTED_VALUE"""),"Matera")</f>
        <v>Matera</v>
      </c>
      <c r="I11" t="str">
        <f>IFERROR(__xludf.DUMMYFUNCTION("""COMPUTED_VALUE"""),"Italy")</f>
        <v>Italy</v>
      </c>
      <c r="J11">
        <f>IFERROR(__xludf.DUMMYFUNCTION("""COMPUTED_VALUE"""),43361.0)</f>
        <v>43361</v>
      </c>
      <c r="K11" t="str">
        <f>IFERROR(__xludf.DUMMYFUNCTION("""COMPUTED_VALUE"""),"")</f>
        <v/>
      </c>
    </row>
    <row r="12">
      <c r="A12">
        <f>IFERROR(__xludf.DUMMYFUNCTION("""COMPUTED_VALUE"""),797.0)</f>
        <v>797</v>
      </c>
      <c r="B12">
        <f>IFERROR(__xludf.DUMMYFUNCTION("""COMPUTED_VALUE"""),40.715095)</f>
        <v>40.715095</v>
      </c>
      <c r="C12">
        <f>IFERROR(__xludf.DUMMYFUNCTION("""COMPUTED_VALUE"""),16.516152)</f>
        <v>16.516152</v>
      </c>
      <c r="D12" t="str">
        <f>IFERROR(__xludf.DUMMYFUNCTION("""COMPUTED_VALUE"""),"Agriturismo")</f>
        <v>Agriturismo</v>
      </c>
      <c r="E12" t="str">
        <f>IFERROR(__xludf.DUMMYFUNCTION("""COMPUTED_VALUE"""),"MASSERIA LA FIORITA")</f>
        <v>MASSERIA LA FIORITA</v>
      </c>
      <c r="F12" t="str">
        <f>IFERROR(__xludf.DUMMYFUNCTION("""COMPUTED_VALUE"""),"CASTORO")</f>
        <v>CASTORO</v>
      </c>
      <c r="G12" t="str">
        <f>IFERROR(__xludf.DUMMYFUNCTION("""COMPUTED_VALUE"""),"contrada marroni")</f>
        <v>contrada marroni</v>
      </c>
      <c r="H12" t="str">
        <f>IFERROR(__xludf.DUMMYFUNCTION("""COMPUTED_VALUE"""),"Matera")</f>
        <v>Matera</v>
      </c>
      <c r="I12" t="str">
        <f>IFERROR(__xludf.DUMMYFUNCTION("""COMPUTED_VALUE"""),"Italy")</f>
        <v>Italy</v>
      </c>
      <c r="J12" t="str">
        <f>IFERROR(__xludf.DUMMYFUNCTION("""COMPUTED_VALUE"""),"")</f>
        <v/>
      </c>
      <c r="K12" t="str">
        <f>IFERROR(__xludf.DUMMYFUNCTION("""COMPUTED_VALUE"""),"")</f>
        <v/>
      </c>
    </row>
    <row r="13">
      <c r="A13">
        <f>IFERROR(__xludf.DUMMYFUNCTION("""COMPUTED_VALUE"""),798.0)</f>
        <v>798</v>
      </c>
      <c r="B13">
        <f>IFERROR(__xludf.DUMMYFUNCTION("""COMPUTED_VALUE"""),40.603659)</f>
        <v>40.603659</v>
      </c>
      <c r="C13">
        <f>IFERROR(__xludf.DUMMYFUNCTION("""COMPUTED_VALUE"""),16.721318)</f>
        <v>16.721318</v>
      </c>
      <c r="D13" t="str">
        <f>IFERROR(__xludf.DUMMYFUNCTION("""COMPUTED_VALUE"""),"Agriturismo")</f>
        <v>Agriturismo</v>
      </c>
      <c r="E13" t="str">
        <f>IFERROR(__xludf.DUMMYFUNCTION("""COMPUTED_VALUE"""),"AZIENDA AGRICOLA SANTORO")</f>
        <v>AZIENDA AGRICOLA SANTORO</v>
      </c>
      <c r="F13" t="str">
        <f>IFERROR(__xludf.DUMMYFUNCTION("""COMPUTED_VALUE"""),"SANTORO CATERINA")</f>
        <v>SANTORO CATERINA</v>
      </c>
      <c r="G13" t="str">
        <f>IFERROR(__xludf.DUMMYFUNCTION("""COMPUTED_VALUE"""),"contrada la bruna")</f>
        <v>contrada la bruna</v>
      </c>
      <c r="H13" t="str">
        <f>IFERROR(__xludf.DUMMYFUNCTION("""COMPUTED_VALUE"""),"Matera")</f>
        <v>Matera</v>
      </c>
      <c r="I13" t="str">
        <f>IFERROR(__xludf.DUMMYFUNCTION("""COMPUTED_VALUE"""),"Italy")</f>
        <v>Italy</v>
      </c>
      <c r="J13">
        <f>IFERROR(__xludf.DUMMYFUNCTION("""COMPUTED_VALUE"""),43504.0)</f>
        <v>43504</v>
      </c>
      <c r="K13" t="str">
        <f>IFERROR(__xludf.DUMMYFUNCTION("""COMPUTED_VALUE"""),"")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IFERROR(__xludf.DUMMYFUNCTION("IMPORTDATA(""https://spreadsheets.google.com/tq?tqx=out:csv&amp;tq=select%20A,B,C,D,E,F,G,H,J,K,I,L,M,O%20&amp;key=1nSr-xXp7oHEWkKvvS3_keRN4yU4g_tcRQYlHiJUztpE&amp;gid=1679464214"")"),"ID")</f>
        <v>ID</v>
      </c>
      <c r="B1" t="str">
        <f>IFERROR(__xludf.DUMMYFUNCTION("""COMPUTED_VALUE"""),"LAT")</f>
        <v>LAT</v>
      </c>
      <c r="C1" t="str">
        <f>IFERROR(__xludf.DUMMYFUNCTION("""COMPUTED_VALUE"""),"LON")</f>
        <v>LON</v>
      </c>
      <c r="D1" t="str">
        <f>IFERROR(__xludf.DUMMYFUNCTION("""COMPUTED_VALUE"""),"TIPOLOGIA")</f>
        <v>TIPOLOGIA</v>
      </c>
      <c r="E1" t="str">
        <f>IFERROR(__xludf.DUMMYFUNCTION("""COMPUTED_VALUE"""),"name")</f>
        <v>name</v>
      </c>
      <c r="F1" t="str">
        <f>IFERROR(__xludf.DUMMYFUNCTION("""COMPUTED_VALUE"""),"LEGALE_RA")</f>
        <v>LEGALE_RA</v>
      </c>
      <c r="G1" t="str">
        <f>IFERROR(__xludf.DUMMYFUNCTION("""COMPUTED_VALUE"""),"UBICAZIONE")</f>
        <v>UBICAZIONE</v>
      </c>
      <c r="H1" t="str">
        <f>IFERROR(__xludf.DUMMYFUNCTION("""COMPUTED_VALUE"""),"CLASSIFICAZIONE")</f>
        <v>CLASSIFICAZIONE</v>
      </c>
      <c r="I1" t="str">
        <f>IFERROR(__xludf.DUMMYFUNCTION("""COMPUTED_VALUE"""),"Country")</f>
        <v>Country</v>
      </c>
      <c r="J1" t="str">
        <f>IFERROR(__xludf.DUMMYFUNCTION("""COMPUTED_VALUE"""),"FOGLIO")</f>
        <v>FOGLIO</v>
      </c>
      <c r="K1" t="str">
        <f>IFERROR(__xludf.DUMMYFUNCTION("""COMPUTED_VALUE"""),"City")</f>
        <v>City</v>
      </c>
      <c r="L1" t="str">
        <f>IFERROR(__xludf.DUMMYFUNCTION("""COMPUTED_VALUE"""),"PARTICELLA")</f>
        <v>PARTICELLA</v>
      </c>
      <c r="M1" t="str">
        <f>IFERROR(__xludf.DUMMYFUNCTION("""COMPUTED_VALUE"""),"SUB")</f>
        <v>SUB</v>
      </c>
      <c r="N1" t="str">
        <f>IFERROR(__xludf.DUMMYFUNCTION("""COMPUTED_VALUE"""),"POSTI LETTO")</f>
        <v>POSTI LETTO</v>
      </c>
    </row>
    <row r="2">
      <c r="A2">
        <f>IFERROR(__xludf.DUMMYFUNCTION("""COMPUTED_VALUE"""),414.0)</f>
        <v>414</v>
      </c>
      <c r="B2">
        <f>IFERROR(__xludf.DUMMYFUNCTION("""COMPUTED_VALUE"""),40.6583221)</f>
        <v>40.6583221</v>
      </c>
      <c r="C2">
        <f>IFERROR(__xludf.DUMMYFUNCTION("""COMPUTED_VALUE"""),16.6113357)</f>
        <v>16.6113357</v>
      </c>
      <c r="D2" t="str">
        <f>IFERROR(__xludf.DUMMYFUNCTION("""COMPUTED_VALUE"""),"Albergo")</f>
        <v>Albergo</v>
      </c>
      <c r="E2" t="str">
        <f>IFERROR(__xludf.DUMMYFUNCTION("""COMPUTED_VALUE"""),"CASINO RIDILA")</f>
        <v>CASINO RIDILA</v>
      </c>
      <c r="F2" t="str">
        <f>IFERROR(__xludf.DUMMYFUNCTION("""COMPUTED_VALUE"""),"HOTEL RIDOLA SRL")</f>
        <v>HOTEL RIDOLA SRL</v>
      </c>
      <c r="G2" t="str">
        <f>IFERROR(__xludf.DUMMYFUNCTION("""COMPUTED_VALUE"""),"Via Morelli  1")</f>
        <v>Via Morelli  1</v>
      </c>
      <c r="H2" t="str">
        <f>IFERROR(__xludf.DUMMYFUNCTION("""COMPUTED_VALUE"""),"4stelle")</f>
        <v>4stelle</v>
      </c>
      <c r="I2" t="str">
        <f>IFERROR(__xludf.DUMMYFUNCTION("""COMPUTED_VALUE"""),"Italy")</f>
        <v>Italy</v>
      </c>
      <c r="J2">
        <f>IFERROR(__xludf.DUMMYFUNCTION("""COMPUTED_VALUE"""),103.0)</f>
        <v>103</v>
      </c>
      <c r="K2" t="str">
        <f>IFERROR(__xludf.DUMMYFUNCTION("""COMPUTED_VALUE"""),"Matera")</f>
        <v>Matera</v>
      </c>
      <c r="L2">
        <f>IFERROR(__xludf.DUMMYFUNCTION("""COMPUTED_VALUE"""),56.0)</f>
        <v>56</v>
      </c>
      <c r="M2">
        <f>IFERROR(__xludf.DUMMYFUNCTION("""COMPUTED_VALUE"""),5.0)</f>
        <v>5</v>
      </c>
      <c r="N2">
        <f>IFERROR(__xludf.DUMMYFUNCTION("""COMPUTED_VALUE"""),24.0)</f>
        <v>24</v>
      </c>
    </row>
    <row r="3">
      <c r="A3">
        <f>IFERROR(__xludf.DUMMYFUNCTION("""COMPUTED_VALUE"""),415.0)</f>
        <v>415</v>
      </c>
      <c r="B3">
        <f>IFERROR(__xludf.DUMMYFUNCTION("""COMPUTED_VALUE"""),40.664612)</f>
        <v>40.664612</v>
      </c>
      <c r="C3">
        <f>IFERROR(__xludf.DUMMYFUNCTION("""COMPUTED_VALUE"""),16.609095)</f>
        <v>16.609095</v>
      </c>
      <c r="D3" t="str">
        <f>IFERROR(__xludf.DUMMYFUNCTION("""COMPUTED_VALUE"""),"Albergo")</f>
        <v>Albergo</v>
      </c>
      <c r="E3" t="str">
        <f>IFERROR(__xludf.DUMMYFUNCTION("""COMPUTED_VALUE"""),"ALBERGO ITALIA")</f>
        <v>ALBERGO ITALIA</v>
      </c>
      <c r="F3" t="str">
        <f>IFERROR(__xludf.DUMMYFUNCTION("""COMPUTED_VALUE"""),"ROMAGNA ROSALIA")</f>
        <v>ROMAGNA ROSALIA</v>
      </c>
      <c r="G3" t="str">
        <f>IFERROR(__xludf.DUMMYFUNCTION("""COMPUTED_VALUE"""),"Via Ridola  5")</f>
        <v>Via Ridola  5</v>
      </c>
      <c r="H3" t="str">
        <f>IFERROR(__xludf.DUMMYFUNCTION("""COMPUTED_VALUE"""),"3stelle")</f>
        <v>3stelle</v>
      </c>
      <c r="I3" t="str">
        <f>IFERROR(__xludf.DUMMYFUNCTION("""COMPUTED_VALUE"""),"Italy")</f>
        <v>Italy</v>
      </c>
      <c r="J3">
        <f>IFERROR(__xludf.DUMMYFUNCTION("""COMPUTED_VALUE"""),159.0)</f>
        <v>159</v>
      </c>
      <c r="K3" t="str">
        <f>IFERROR(__xludf.DUMMYFUNCTION("""COMPUTED_VALUE"""),"Matera")</f>
        <v>Matera</v>
      </c>
      <c r="L3">
        <f>IFERROR(__xludf.DUMMYFUNCTION("""COMPUTED_VALUE"""),1332.0)</f>
        <v>1332</v>
      </c>
      <c r="M3">
        <f>IFERROR(__xludf.DUMMYFUNCTION("""COMPUTED_VALUE"""),12.0)</f>
        <v>12</v>
      </c>
      <c r="N3">
        <f>IFERROR(__xludf.DUMMYFUNCTION("""COMPUTED_VALUE"""),100.0)</f>
        <v>100</v>
      </c>
    </row>
    <row r="4">
      <c r="A4">
        <f>IFERROR(__xludf.DUMMYFUNCTION("""COMPUTED_VALUE"""),416.0)</f>
        <v>416</v>
      </c>
      <c r="B4">
        <f>IFERROR(__xludf.DUMMYFUNCTION("""COMPUTED_VALUE"""),40.6657213)</f>
        <v>40.6657213</v>
      </c>
      <c r="C4">
        <f>IFERROR(__xludf.DUMMYFUNCTION("""COMPUTED_VALUE"""),16.6096428)</f>
        <v>16.6096428</v>
      </c>
      <c r="D4" t="str">
        <f>IFERROR(__xludf.DUMMYFUNCTION("""COMPUTED_VALUE"""),"Albergo")</f>
        <v>Albergo</v>
      </c>
      <c r="E4" t="str">
        <f>IFERROR(__xludf.DUMMYFUNCTION("""COMPUTED_VALUE"""),"CASALE DEI SINDACI- ALBERGO DEL SEDILE")</f>
        <v>CASALE DEI SINDACI- ALBERGO DEL SEDILE</v>
      </c>
      <c r="F4" t="str">
        <f>IFERROR(__xludf.DUMMYFUNCTION("""COMPUTED_VALUE"""),"DITTA ALA SRL ADORANTE PASQUALE")</f>
        <v>DITTA ALA SRL ADORANTE PASQUALE</v>
      </c>
      <c r="G4" t="str">
        <f>IFERROR(__xludf.DUMMYFUNCTION("""COMPUTED_VALUE"""),"Recinto del Sedile  4")</f>
        <v>Recinto del Sedile  4</v>
      </c>
      <c r="H4" t="str">
        <f>IFERROR(__xludf.DUMMYFUNCTION("""COMPUTED_VALUE"""),"4stelle")</f>
        <v>4stelle</v>
      </c>
      <c r="I4" t="str">
        <f>IFERROR(__xludf.DUMMYFUNCTION("""COMPUTED_VALUE"""),"Italy")</f>
        <v>Italy</v>
      </c>
      <c r="J4" t="str">
        <f>IFERROR(__xludf.DUMMYFUNCTION("""COMPUTED_VALUE"""),"")</f>
        <v/>
      </c>
      <c r="K4" t="str">
        <f>IFERROR(__xludf.DUMMYFUNCTION("""COMPUTED_VALUE"""),"Matera")</f>
        <v>Matera</v>
      </c>
      <c r="L4" t="str">
        <f>IFERROR(__xludf.DUMMYFUNCTION("""COMPUTED_VALUE"""),"")</f>
        <v/>
      </c>
      <c r="M4" t="str">
        <f>IFERROR(__xludf.DUMMYFUNCTION("""COMPUTED_VALUE"""),"")</f>
        <v/>
      </c>
      <c r="N4" t="str">
        <f>IFERROR(__xludf.DUMMYFUNCTION("""COMPUTED_VALUE"""),"")</f>
        <v/>
      </c>
    </row>
    <row r="5">
      <c r="A5">
        <f>IFERROR(__xludf.DUMMYFUNCTION("""COMPUTED_VALUE"""),417.0)</f>
        <v>417</v>
      </c>
      <c r="B5">
        <f>IFERROR(__xludf.DUMMYFUNCTION("""COMPUTED_VALUE"""),40.6745547)</f>
        <v>40.6745547</v>
      </c>
      <c r="C5">
        <f>IFERROR(__xludf.DUMMYFUNCTION("""COMPUTED_VALUE"""),16.6062277)</f>
        <v>16.6062277</v>
      </c>
      <c r="D5" t="str">
        <f>IFERROR(__xludf.DUMMYFUNCTION("""COMPUTED_VALUE"""),"Albergo")</f>
        <v>Albergo</v>
      </c>
      <c r="E5" t="str">
        <f>IFERROR(__xludf.DUMMYFUNCTION("""COMPUTED_VALUE"""),"CHIOSTRO DELLE CERERIE")</f>
        <v>CHIOSTRO DELLE CERERIE</v>
      </c>
      <c r="F5" t="str">
        <f>IFERROR(__xludf.DUMMYFUNCTION("""COMPUTED_VALUE"""),"AMBRICO CARMINE")</f>
        <v>AMBRICO CARMINE</v>
      </c>
      <c r="G5" t="str">
        <f>IFERROR(__xludf.DUMMYFUNCTION("""COMPUTED_VALUE"""),"Via Cererie 16")</f>
        <v>Via Cererie 16</v>
      </c>
      <c r="H5" t="str">
        <f>IFERROR(__xludf.DUMMYFUNCTION("""COMPUTED_VALUE"""),"2stelle")</f>
        <v>2stelle</v>
      </c>
      <c r="I5" t="str">
        <f>IFERROR(__xludf.DUMMYFUNCTION("""COMPUTED_VALUE"""),"Italy")</f>
        <v>Italy</v>
      </c>
      <c r="J5" t="str">
        <f>IFERROR(__xludf.DUMMYFUNCTION("""COMPUTED_VALUE"""),"")</f>
        <v/>
      </c>
      <c r="K5" t="str">
        <f>IFERROR(__xludf.DUMMYFUNCTION("""COMPUTED_VALUE"""),"Matera")</f>
        <v>Matera</v>
      </c>
      <c r="L5" t="str">
        <f>IFERROR(__xludf.DUMMYFUNCTION("""COMPUTED_VALUE"""),"")</f>
        <v/>
      </c>
      <c r="M5" t="str">
        <f>IFERROR(__xludf.DUMMYFUNCTION("""COMPUTED_VALUE"""),"")</f>
        <v/>
      </c>
      <c r="N5">
        <f>IFERROR(__xludf.DUMMYFUNCTION("""COMPUTED_VALUE"""),51.0)</f>
        <v>51</v>
      </c>
    </row>
    <row r="6">
      <c r="A6">
        <f>IFERROR(__xludf.DUMMYFUNCTION("""COMPUTED_VALUE"""),418.0)</f>
        <v>418</v>
      </c>
      <c r="B6">
        <f>IFERROR(__xludf.DUMMYFUNCTION("""COMPUTED_VALUE"""),40.6758046)</f>
        <v>40.6758046</v>
      </c>
      <c r="C6">
        <f>IFERROR(__xludf.DUMMYFUNCTION("""COMPUTED_VALUE"""),16.596221)</f>
        <v>16.596221</v>
      </c>
      <c r="D6" t="str">
        <f>IFERROR(__xludf.DUMMYFUNCTION("""COMPUTED_VALUE"""),"Albergo")</f>
        <v>Albergo</v>
      </c>
      <c r="E6" t="str">
        <f>IFERROR(__xludf.DUMMYFUNCTION("""COMPUTED_VALUE"""),"HOTEL NAZIONALE")</f>
        <v>HOTEL NAZIONALE</v>
      </c>
      <c r="F6" t="str">
        <f>IFERROR(__xludf.DUMMYFUNCTION("""COMPUTED_VALUE"""),"HTEL NAZIONALE srl")</f>
        <v>HTEL NAZIONALE srl</v>
      </c>
      <c r="G6" t="str">
        <f>IFERROR(__xludf.DUMMYFUNCTION("""COMPUTED_VALUE"""),"VIA NAZIONALE  158")</f>
        <v>VIA NAZIONALE  158</v>
      </c>
      <c r="H6" t="str">
        <f>IFERROR(__xludf.DUMMYFUNCTION("""COMPUTED_VALUE"""),"4 stelle")</f>
        <v>4 stelle</v>
      </c>
      <c r="I6" t="str">
        <f>IFERROR(__xludf.DUMMYFUNCTION("""COMPUTED_VALUE"""),"Italy")</f>
        <v>Italy</v>
      </c>
      <c r="J6">
        <f>IFERROR(__xludf.DUMMYFUNCTION("""COMPUTED_VALUE"""),159.0)</f>
        <v>159</v>
      </c>
      <c r="K6" t="str">
        <f>IFERROR(__xludf.DUMMYFUNCTION("""COMPUTED_VALUE"""),"Matera")</f>
        <v>Matera</v>
      </c>
      <c r="L6">
        <f>IFERROR(__xludf.DUMMYFUNCTION("""COMPUTED_VALUE"""),5023.0)</f>
        <v>5023</v>
      </c>
      <c r="M6">
        <f>IFERROR(__xludf.DUMMYFUNCTION("""COMPUTED_VALUE"""),6.0)</f>
        <v>6</v>
      </c>
      <c r="N6">
        <f>IFERROR(__xludf.DUMMYFUNCTION("""COMPUTED_VALUE"""),86.0)</f>
        <v>86</v>
      </c>
    </row>
    <row r="7">
      <c r="A7">
        <f>IFERROR(__xludf.DUMMYFUNCTION("""COMPUTED_VALUE"""),419.0)</f>
        <v>419</v>
      </c>
      <c r="B7">
        <f>IFERROR(__xludf.DUMMYFUNCTION("""COMPUTED_VALUE"""),40.6676975)</f>
        <v>40.6676975</v>
      </c>
      <c r="C7">
        <f>IFERROR(__xludf.DUMMYFUNCTION("""COMPUTED_VALUE"""),16.6101551)</f>
        <v>16.6101551</v>
      </c>
      <c r="D7" t="str">
        <f>IFERROR(__xludf.DUMMYFUNCTION("""COMPUTED_VALUE"""),"Albergo")</f>
        <v>Albergo</v>
      </c>
      <c r="E7" t="str">
        <f>IFERROR(__xludf.DUMMYFUNCTION("""COMPUTED_VALUE"""),"HOTEL RESIDENCE SAN GIORGIO")</f>
        <v>HOTEL RESIDENCE SAN GIORGIO</v>
      </c>
      <c r="F7" t="str">
        <f>IFERROR(__xludf.DUMMYFUNCTION("""COMPUTED_VALUE"""),"ALESSANDRA ANTODARO")</f>
        <v>ALESSANDRA ANTODARO</v>
      </c>
      <c r="G7" t="str">
        <f>IFERROR(__xludf.DUMMYFUNCTION("""COMPUTED_VALUE"""),"Via Fiorentini 259")</f>
        <v>Via Fiorentini 259</v>
      </c>
      <c r="H7" t="str">
        <f>IFERROR(__xludf.DUMMYFUNCTION("""COMPUTED_VALUE"""),"3 stelle")</f>
        <v>3 stelle</v>
      </c>
      <c r="I7" t="str">
        <f>IFERROR(__xludf.DUMMYFUNCTION("""COMPUTED_VALUE"""),"Italy")</f>
        <v>Italy</v>
      </c>
      <c r="J7">
        <f>IFERROR(__xludf.DUMMYFUNCTION("""COMPUTED_VALUE"""),159.0)</f>
        <v>159</v>
      </c>
      <c r="K7" t="str">
        <f>IFERROR(__xludf.DUMMYFUNCTION("""COMPUTED_VALUE"""),"Matera")</f>
        <v>Matera</v>
      </c>
      <c r="L7">
        <f>IFERROR(__xludf.DUMMYFUNCTION("""COMPUTED_VALUE"""),769.0)</f>
        <v>769</v>
      </c>
      <c r="M7">
        <f>IFERROR(__xludf.DUMMYFUNCTION("""COMPUTED_VALUE"""),10.0)</f>
        <v>10</v>
      </c>
      <c r="N7">
        <f>IFERROR(__xludf.DUMMYFUNCTION("""COMPUTED_VALUE"""),39.0)</f>
        <v>39</v>
      </c>
    </row>
    <row r="8">
      <c r="A8">
        <f>IFERROR(__xludf.DUMMYFUNCTION("""COMPUTED_VALUE"""),420.0)</f>
        <v>420</v>
      </c>
      <c r="B8">
        <f>IFERROR(__xludf.DUMMYFUNCTION("""COMPUTED_VALUE"""),40.6670639)</f>
        <v>40.6670639</v>
      </c>
      <c r="C8">
        <f>IFERROR(__xludf.DUMMYFUNCTION("""COMPUTED_VALUE"""),16.6051056)</f>
        <v>16.6051056</v>
      </c>
      <c r="D8" t="str">
        <f>IFERROR(__xludf.DUMMYFUNCTION("""COMPUTED_VALUE"""),"Albergo")</f>
        <v>Albergo</v>
      </c>
      <c r="E8" t="str">
        <f>IFERROR(__xludf.DUMMYFUNCTION("""COMPUTED_VALUE"""),"HOTEL SAN DOMENICO")</f>
        <v>HOTEL SAN DOMENICO</v>
      </c>
      <c r="F8" t="str">
        <f>IFERROR(__xludf.DUMMYFUNCTION("""COMPUTED_VALUE"""),"OLIVIERI NUNZIO")</f>
        <v>OLIVIERI NUNZIO</v>
      </c>
      <c r="G8" t="str">
        <f>IFERROR(__xludf.DUMMYFUNCTION("""COMPUTED_VALUE"""),"Via Roma  15")</f>
        <v>Via Roma  15</v>
      </c>
      <c r="H8" t="str">
        <f>IFERROR(__xludf.DUMMYFUNCTION("""COMPUTED_VALUE"""),"4stelle")</f>
        <v>4stelle</v>
      </c>
      <c r="I8" t="str">
        <f>IFERROR(__xludf.DUMMYFUNCTION("""COMPUTED_VALUE"""),"Italy")</f>
        <v>Italy</v>
      </c>
      <c r="J8" t="str">
        <f>IFERROR(__xludf.DUMMYFUNCTION("""COMPUTED_VALUE"""),"")</f>
        <v/>
      </c>
      <c r="K8" t="str">
        <f>IFERROR(__xludf.DUMMYFUNCTION("""COMPUTED_VALUE"""),"Matera")</f>
        <v>Matera</v>
      </c>
      <c r="L8" t="str">
        <f>IFERROR(__xludf.DUMMYFUNCTION("""COMPUTED_VALUE"""),"")</f>
        <v/>
      </c>
      <c r="M8" t="str">
        <f>IFERROR(__xludf.DUMMYFUNCTION("""COMPUTED_VALUE"""),"")</f>
        <v/>
      </c>
      <c r="N8">
        <f>IFERROR(__xludf.DUMMYFUNCTION("""COMPUTED_VALUE"""),126.0)</f>
        <v>126</v>
      </c>
    </row>
    <row r="9">
      <c r="A9">
        <f>IFERROR(__xludf.DUMMYFUNCTION("""COMPUTED_VALUE"""),421.0)</f>
        <v>421</v>
      </c>
      <c r="B9">
        <f>IFERROR(__xludf.DUMMYFUNCTION("""COMPUTED_VALUE"""),40.6651906)</f>
        <v>40.6651906</v>
      </c>
      <c r="C9">
        <f>IFERROR(__xludf.DUMMYFUNCTION("""COMPUTED_VALUE"""),16.6119451)</f>
        <v>16.6119451</v>
      </c>
      <c r="D9" t="str">
        <f>IFERROR(__xludf.DUMMYFUNCTION("""COMPUTED_VALUE"""),"Albergo")</f>
        <v>Albergo</v>
      </c>
      <c r="E9" t="str">
        <f>IFERROR(__xludf.DUMMYFUNCTION("""COMPUTED_VALUE"""),"HOTEL SANT'ANGELO")</f>
        <v>HOTEL SANT'ANGELO</v>
      </c>
      <c r="F9" t="str">
        <f>IFERROR(__xludf.DUMMYFUNCTION("""COMPUTED_VALUE"""),"RUSCIGNO NICOLA")</f>
        <v>RUSCIGNO NICOLA</v>
      </c>
      <c r="G9" t="str">
        <f>IFERROR(__xludf.DUMMYFUNCTION("""COMPUTED_VALUE"""),"Piazza San Pietro Caveoso")</f>
        <v>Piazza San Pietro Caveoso</v>
      </c>
      <c r="H9" t="str">
        <f>IFERROR(__xludf.DUMMYFUNCTION("""COMPUTED_VALUE"""),"5 stelle lusso")</f>
        <v>5 stelle lusso</v>
      </c>
      <c r="I9" t="str">
        <f>IFERROR(__xludf.DUMMYFUNCTION("""COMPUTED_VALUE"""),"Italy")</f>
        <v>Italy</v>
      </c>
      <c r="J9">
        <f>IFERROR(__xludf.DUMMYFUNCTION("""COMPUTED_VALUE"""),159.0)</f>
        <v>159</v>
      </c>
      <c r="K9" t="str">
        <f>IFERROR(__xludf.DUMMYFUNCTION("""COMPUTED_VALUE"""),"Matera")</f>
        <v>Matera</v>
      </c>
      <c r="L9">
        <f>IFERROR(__xludf.DUMMYFUNCTION("""COMPUTED_VALUE"""),1669.0)</f>
        <v>1669</v>
      </c>
      <c r="M9">
        <f>IFERROR(__xludf.DUMMYFUNCTION("""COMPUTED_VALUE"""),1.0)</f>
        <v>1</v>
      </c>
      <c r="N9">
        <f>IFERROR(__xludf.DUMMYFUNCTION("""COMPUTED_VALUE"""),44.0)</f>
        <v>44</v>
      </c>
    </row>
    <row r="10">
      <c r="A10">
        <f>IFERROR(__xludf.DUMMYFUNCTION("""COMPUTED_VALUE"""),422.0)</f>
        <v>422</v>
      </c>
      <c r="B10">
        <f>IFERROR(__xludf.DUMMYFUNCTION("""COMPUTED_VALUE"""),40.6671977)</f>
        <v>40.6671977</v>
      </c>
      <c r="C10">
        <f>IFERROR(__xludf.DUMMYFUNCTION("""COMPUTED_VALUE"""),16.6097752)</f>
        <v>16.6097752</v>
      </c>
      <c r="D10" t="str">
        <f>IFERROR(__xludf.DUMMYFUNCTION("""COMPUTED_VALUE"""),"Albergo")</f>
        <v>Albergo</v>
      </c>
      <c r="E10" t="str">
        <f>IFERROR(__xludf.DUMMYFUNCTION("""COMPUTED_VALUE"""),"HOTEL SASSI")</f>
        <v>HOTEL SASSI</v>
      </c>
      <c r="F10" t="str">
        <f>IFERROR(__xludf.DUMMYFUNCTION("""COMPUTED_VALUE"""),"PIERGREGORIO PADULA")</f>
        <v>PIERGREGORIO PADULA</v>
      </c>
      <c r="G10" t="str">
        <f>IFERROR(__xludf.DUMMYFUNCTION("""COMPUTED_VALUE"""),"Via San Giovanni Vecchio  89")</f>
        <v>Via San Giovanni Vecchio  89</v>
      </c>
      <c r="H10" t="str">
        <f>IFERROR(__xludf.DUMMYFUNCTION("""COMPUTED_VALUE"""),"3stelle")</f>
        <v>3stelle</v>
      </c>
      <c r="I10" t="str">
        <f>IFERROR(__xludf.DUMMYFUNCTION("""COMPUTED_VALUE"""),"Italy")</f>
        <v>Italy</v>
      </c>
      <c r="J10">
        <f>IFERROR(__xludf.DUMMYFUNCTION("""COMPUTED_VALUE"""),159.0)</f>
        <v>159</v>
      </c>
      <c r="K10" t="str">
        <f>IFERROR(__xludf.DUMMYFUNCTION("""COMPUTED_VALUE"""),"Matera")</f>
        <v>Matera</v>
      </c>
      <c r="L10">
        <f>IFERROR(__xludf.DUMMYFUNCTION("""COMPUTED_VALUE"""),364.0)</f>
        <v>364</v>
      </c>
      <c r="M10">
        <f>IFERROR(__xludf.DUMMYFUNCTION("""COMPUTED_VALUE"""),1.0)</f>
        <v>1</v>
      </c>
      <c r="N10">
        <f>IFERROR(__xludf.DUMMYFUNCTION("""COMPUTED_VALUE"""),113.0)</f>
        <v>113</v>
      </c>
    </row>
    <row r="11">
      <c r="A11">
        <f>IFERROR(__xludf.DUMMYFUNCTION("""COMPUTED_VALUE"""),423.0)</f>
        <v>423</v>
      </c>
      <c r="B11">
        <f>IFERROR(__xludf.DUMMYFUNCTION("""COMPUTED_VALUE"""),40.660796)</f>
        <v>40.660796</v>
      </c>
      <c r="C11">
        <f>IFERROR(__xludf.DUMMYFUNCTION("""COMPUTED_VALUE"""),16.61314)</f>
        <v>16.61314</v>
      </c>
      <c r="D11" t="str">
        <f>IFERROR(__xludf.DUMMYFUNCTION("""COMPUTED_VALUE"""),"Albergo")</f>
        <v>Albergo</v>
      </c>
      <c r="E11" t="str">
        <f>IFERROR(__xludf.DUMMYFUNCTION("""COMPUTED_VALUE"""),"IL BELVEDERE")</f>
        <v>IL BELVEDERE</v>
      </c>
      <c r="F11" t="str">
        <f>IFERROR(__xludf.DUMMYFUNCTION("""COMPUTED_VALUE"""),"SANTERAMO NICOLA")</f>
        <v>SANTERAMO NICOLA</v>
      </c>
      <c r="G11" t="str">
        <f>IFERROR(__xludf.DUMMYFUNCTION("""COMPUTED_VALUE"""),"Via casalnuovo 133")</f>
        <v>Via casalnuovo 133</v>
      </c>
      <c r="H11" t="str">
        <f>IFERROR(__xludf.DUMMYFUNCTION("""COMPUTED_VALUE"""),"3stelle")</f>
        <v>3stelle</v>
      </c>
      <c r="I11" t="str">
        <f>IFERROR(__xludf.DUMMYFUNCTION("""COMPUTED_VALUE"""),"Italy")</f>
        <v>Italy</v>
      </c>
      <c r="J11">
        <f>IFERROR(__xludf.DUMMYFUNCTION("""COMPUTED_VALUE"""),159.0)</f>
        <v>159</v>
      </c>
      <c r="K11" t="str">
        <f>IFERROR(__xludf.DUMMYFUNCTION("""COMPUTED_VALUE"""),"Matera")</f>
        <v>Matera</v>
      </c>
      <c r="L11">
        <f>IFERROR(__xludf.DUMMYFUNCTION("""COMPUTED_VALUE"""),2987.0)</f>
        <v>2987</v>
      </c>
      <c r="M11">
        <f>IFERROR(__xludf.DUMMYFUNCTION("""COMPUTED_VALUE"""),6.0)</f>
        <v>6</v>
      </c>
      <c r="N11">
        <f>IFERROR(__xludf.DUMMYFUNCTION("""COMPUTED_VALUE"""),25.0)</f>
        <v>25</v>
      </c>
    </row>
    <row r="12">
      <c r="A12">
        <f>IFERROR(__xludf.DUMMYFUNCTION("""COMPUTED_VALUE"""),424.0)</f>
        <v>424</v>
      </c>
      <c r="B12">
        <f>IFERROR(__xludf.DUMMYFUNCTION("""COMPUTED_VALUE"""),40.6678407)</f>
        <v>40.6678407</v>
      </c>
      <c r="C12">
        <f>IFERROR(__xludf.DUMMYFUNCTION("""COMPUTED_VALUE"""),16.6091579)</f>
        <v>16.6091579</v>
      </c>
      <c r="D12" t="str">
        <f>IFERROR(__xludf.DUMMYFUNCTION("""COMPUTED_VALUE"""),"Albergo")</f>
        <v>Albergo</v>
      </c>
      <c r="E12" t="str">
        <f>IFERROR(__xludf.DUMMYFUNCTION("""COMPUTED_VALUE"""),"LOCANDA DI SAN MARTINO")</f>
        <v>LOCANDA DI SAN MARTINO</v>
      </c>
      <c r="F12" t="str">
        <f>IFERROR(__xludf.DUMMYFUNCTION("""COMPUTED_VALUE"""),"PANETTA")</f>
        <v>PANETTA</v>
      </c>
      <c r="G12" t="str">
        <f>IFERROR(__xludf.DUMMYFUNCTION("""COMPUTED_VALUE"""),"Via San Rocco  67")</f>
        <v>Via San Rocco  67</v>
      </c>
      <c r="H12" t="str">
        <f>IFERROR(__xludf.DUMMYFUNCTION("""COMPUTED_VALUE"""),"3stelle")</f>
        <v>3stelle</v>
      </c>
      <c r="I12" t="str">
        <f>IFERROR(__xludf.DUMMYFUNCTION("""COMPUTED_VALUE"""),"Italy")</f>
        <v>Italy</v>
      </c>
      <c r="J12">
        <f>IFERROR(__xludf.DUMMYFUNCTION("""COMPUTED_VALUE"""),159.0)</f>
        <v>159</v>
      </c>
      <c r="K12" t="str">
        <f>IFERROR(__xludf.DUMMYFUNCTION("""COMPUTED_VALUE"""),"Matera")</f>
        <v>Matera</v>
      </c>
      <c r="L12">
        <f>IFERROR(__xludf.DUMMYFUNCTION("""COMPUTED_VALUE"""),4353.0)</f>
        <v>4353</v>
      </c>
      <c r="M12" t="str">
        <f>IFERROR(__xludf.DUMMYFUNCTION("""COMPUTED_VALUE"""),"")</f>
        <v/>
      </c>
      <c r="N12">
        <f>IFERROR(__xludf.DUMMYFUNCTION("""COMPUTED_VALUE"""),88.0)</f>
        <v>88</v>
      </c>
    </row>
    <row r="13">
      <c r="A13">
        <f>IFERROR(__xludf.DUMMYFUNCTION("""COMPUTED_VALUE"""),425.0)</f>
        <v>425</v>
      </c>
      <c r="B13">
        <f>IFERROR(__xludf.DUMMYFUNCTION("""COMPUTED_VALUE"""),40.642884)</f>
        <v>40.642884</v>
      </c>
      <c r="C13">
        <f>IFERROR(__xludf.DUMMYFUNCTION("""COMPUTED_VALUE"""),16.617057)</f>
        <v>16.617057</v>
      </c>
      <c r="D13" t="str">
        <f>IFERROR(__xludf.DUMMYFUNCTION("""COMPUTED_VALUE"""),"Albergo")</f>
        <v>Albergo</v>
      </c>
      <c r="E13" t="str">
        <f>IFERROR(__xludf.DUMMYFUNCTION("""COMPUTED_VALUE"""),"MASSERIA SAN FRANCESCO")</f>
        <v>MASSERIA SAN FRANCESCO</v>
      </c>
      <c r="F13" t="str">
        <f>IFERROR(__xludf.DUMMYFUNCTION("""COMPUTED_VALUE"""),"DONIGESTIONI SRL")</f>
        <v>DONIGESTIONI SRL</v>
      </c>
      <c r="G13" t="str">
        <f>IFERROR(__xludf.DUMMYFUNCTION("""COMPUTED_VALUE"""),"contrada san francesco")</f>
        <v>contrada san francesco</v>
      </c>
      <c r="H13" t="str">
        <f>IFERROR(__xludf.DUMMYFUNCTION("""COMPUTED_VALUE"""),"4stelle")</f>
        <v>4stelle</v>
      </c>
      <c r="I13" t="str">
        <f>IFERROR(__xludf.DUMMYFUNCTION("""COMPUTED_VALUE"""),"Italy")</f>
        <v>Italy</v>
      </c>
      <c r="J13">
        <f>IFERROR(__xludf.DUMMYFUNCTION("""COMPUTED_VALUE"""),113.0)</f>
        <v>113</v>
      </c>
      <c r="K13" t="str">
        <f>IFERROR(__xludf.DUMMYFUNCTION("""COMPUTED_VALUE"""),"Matera")</f>
        <v>Matera</v>
      </c>
      <c r="L13">
        <f>IFERROR(__xludf.DUMMYFUNCTION("""COMPUTED_VALUE"""),341.0)</f>
        <v>341</v>
      </c>
      <c r="M13">
        <f>IFERROR(__xludf.DUMMYFUNCTION("""COMPUTED_VALUE"""),4.0)</f>
        <v>4</v>
      </c>
      <c r="N13">
        <f>IFERROR(__xludf.DUMMYFUNCTION("""COMPUTED_VALUE"""),22.0)</f>
        <v>22</v>
      </c>
    </row>
    <row r="14">
      <c r="A14">
        <f>IFERROR(__xludf.DUMMYFUNCTION("""COMPUTED_VALUE"""),426.0)</f>
        <v>426</v>
      </c>
      <c r="B14">
        <f>IFERROR(__xludf.DUMMYFUNCTION("""COMPUTED_VALUE"""),40.666495)</f>
        <v>40.666495</v>
      </c>
      <c r="C14">
        <f>IFERROR(__xludf.DUMMYFUNCTION("""COMPUTED_VALUE"""),16.611328)</f>
        <v>16.611328</v>
      </c>
      <c r="D14" t="str">
        <f>IFERROR(__xludf.DUMMYFUNCTION("""COMPUTED_VALUE"""),"Albergo")</f>
        <v>Albergo</v>
      </c>
      <c r="E14" t="str">
        <f>IFERROR(__xludf.DUMMYFUNCTION("""COMPUTED_VALUE"""),"PALAZZO GATTINI (DIMORA STORICA)")</f>
        <v>PALAZZO GATTINI (DIMORA STORICA)</v>
      </c>
      <c r="F14" t="str">
        <f>IFERROR(__xludf.DUMMYFUNCTION("""COMPUTED_VALUE"""),"Palazzo Gattini S.r.l. Benedetto Nicola")</f>
        <v>Palazzo Gattini S.r.l. Benedetto Nicola</v>
      </c>
      <c r="G14" t="str">
        <f>IFERROR(__xludf.DUMMYFUNCTION("""COMPUTED_VALUE"""),"Piazza Duomo  13/14")</f>
        <v>Piazza Duomo  13/14</v>
      </c>
      <c r="H14" t="str">
        <f>IFERROR(__xludf.DUMMYFUNCTION("""COMPUTED_VALUE"""),"5stelle")</f>
        <v>5stelle</v>
      </c>
      <c r="I14" t="str">
        <f>IFERROR(__xludf.DUMMYFUNCTION("""COMPUTED_VALUE"""),"Italy")</f>
        <v>Italy</v>
      </c>
      <c r="J14">
        <f>IFERROR(__xludf.DUMMYFUNCTION("""COMPUTED_VALUE"""),159.0)</f>
        <v>159</v>
      </c>
      <c r="K14" t="str">
        <f>IFERROR(__xludf.DUMMYFUNCTION("""COMPUTED_VALUE"""),"Matera")</f>
        <v>Matera</v>
      </c>
      <c r="L14">
        <f>IFERROR(__xludf.DUMMYFUNCTION("""COMPUTED_VALUE"""),1282.0)</f>
        <v>1282</v>
      </c>
      <c r="M14">
        <f>IFERROR(__xludf.DUMMYFUNCTION("""COMPUTED_VALUE"""),4.0)</f>
        <v>4</v>
      </c>
      <c r="N14">
        <f>IFERROR(__xludf.DUMMYFUNCTION("""COMPUTED_VALUE"""),42.0)</f>
        <v>42</v>
      </c>
    </row>
    <row r="15">
      <c r="A15">
        <f>IFERROR(__xludf.DUMMYFUNCTION("""COMPUTED_VALUE"""),427.0)</f>
        <v>427</v>
      </c>
      <c r="B15">
        <f>IFERROR(__xludf.DUMMYFUNCTION("""COMPUTED_VALUE"""),40.66647)</f>
        <v>40.66647</v>
      </c>
      <c r="C15">
        <f>IFERROR(__xludf.DUMMYFUNCTION("""COMPUTED_VALUE"""),16.61176)</f>
        <v>16.61176</v>
      </c>
      <c r="D15" t="str">
        <f>IFERROR(__xludf.DUMMYFUNCTION("""COMPUTED_VALUE"""),"Albergo")</f>
        <v>Albergo</v>
      </c>
      <c r="E15" t="str">
        <f>IFERROR(__xludf.DUMMYFUNCTION("""COMPUTED_VALUE"""),"PALAZZO VICECONTE")</f>
        <v>PALAZZO VICECONTE</v>
      </c>
      <c r="F15" t="str">
        <f>IFERROR(__xludf.DUMMYFUNCTION("""COMPUTED_VALUE"""),"sirio DI ARENA MARGHERITA")</f>
        <v>sirio DI ARENA MARGHERITA</v>
      </c>
      <c r="G15" t="str">
        <f>IFERROR(__xludf.DUMMYFUNCTION("""COMPUTED_VALUE"""),"via san potito")</f>
        <v>via san potito</v>
      </c>
      <c r="H15" t="str">
        <f>IFERROR(__xludf.DUMMYFUNCTION("""COMPUTED_VALUE"""),"4stelle")</f>
        <v>4stelle</v>
      </c>
      <c r="I15" t="str">
        <f>IFERROR(__xludf.DUMMYFUNCTION("""COMPUTED_VALUE"""),"Italy")</f>
        <v>Italy</v>
      </c>
      <c r="J15">
        <f>IFERROR(__xludf.DUMMYFUNCTION("""COMPUTED_VALUE"""),159.0)</f>
        <v>159</v>
      </c>
      <c r="K15" t="str">
        <f>IFERROR(__xludf.DUMMYFUNCTION("""COMPUTED_VALUE"""),"Matera")</f>
        <v>Matera</v>
      </c>
      <c r="L15">
        <f>IFERROR(__xludf.DUMMYFUNCTION("""COMPUTED_VALUE"""),1258.0)</f>
        <v>1258</v>
      </c>
      <c r="M15">
        <f>IFERROR(__xludf.DUMMYFUNCTION("""COMPUTED_VALUE"""),34.0)</f>
        <v>34</v>
      </c>
      <c r="N15">
        <f>IFERROR(__xludf.DUMMYFUNCTION("""COMPUTED_VALUE"""),35.0)</f>
        <v>35</v>
      </c>
    </row>
    <row r="16">
      <c r="A16">
        <f>IFERROR(__xludf.DUMMYFUNCTION("""COMPUTED_VALUE"""),428.0)</f>
        <v>428</v>
      </c>
      <c r="B16">
        <f>IFERROR(__xludf.DUMMYFUNCTION("""COMPUTED_VALUE"""),40.6680109)</f>
        <v>40.6680109</v>
      </c>
      <c r="C16">
        <f>IFERROR(__xludf.DUMMYFUNCTION("""COMPUTED_VALUE"""),16.6047752)</f>
        <v>16.6047752</v>
      </c>
      <c r="D16" t="str">
        <f>IFERROR(__xludf.DUMMYFUNCTION("""COMPUTED_VALUE"""),"Albergo")</f>
        <v>Albergo</v>
      </c>
      <c r="E16" t="str">
        <f>IFERROR(__xludf.DUMMYFUNCTION("""COMPUTED_VALUE"""),"PICCOLO ALBERGO")</f>
        <v>PICCOLO ALBERGO</v>
      </c>
      <c r="F16" t="str">
        <f>IFERROR(__xludf.DUMMYFUNCTION("""COMPUTED_VALUE"""),"Soc. Sasso Alto S.r.l. - Mazzei Andrea Marcello")</f>
        <v>Soc. Sasso Alto S.r.l. - Mazzei Andrea Marcello</v>
      </c>
      <c r="G16" t="str">
        <f>IFERROR(__xludf.DUMMYFUNCTION("""COMPUTED_VALUE"""),"Via De Sariis  11/13")</f>
        <v>Via De Sariis  11/13</v>
      </c>
      <c r="H16" t="str">
        <f>IFERROR(__xludf.DUMMYFUNCTION("""COMPUTED_VALUE"""),"3stelle")</f>
        <v>3stelle</v>
      </c>
      <c r="I16" t="str">
        <f>IFERROR(__xludf.DUMMYFUNCTION("""COMPUTED_VALUE"""),"Italy")</f>
        <v>Italy</v>
      </c>
      <c r="J16">
        <f>IFERROR(__xludf.DUMMYFUNCTION("""COMPUTED_VALUE"""),159.0)</f>
        <v>159</v>
      </c>
      <c r="K16" t="str">
        <f>IFERROR(__xludf.DUMMYFUNCTION("""COMPUTED_VALUE"""),"Matera")</f>
        <v>Matera</v>
      </c>
      <c r="L16">
        <f>IFERROR(__xludf.DUMMYFUNCTION("""COMPUTED_VALUE"""),3754.0)</f>
        <v>3754</v>
      </c>
      <c r="M16">
        <f>IFERROR(__xludf.DUMMYFUNCTION("""COMPUTED_VALUE"""),5.0)</f>
        <v>5</v>
      </c>
      <c r="N16">
        <f>IFERROR(__xludf.DUMMYFUNCTION("""COMPUTED_VALUE"""),20.0)</f>
        <v>20</v>
      </c>
    </row>
    <row r="17">
      <c r="A17">
        <f>IFERROR(__xludf.DUMMYFUNCTION("""COMPUTED_VALUE"""),430.0)</f>
        <v>430</v>
      </c>
      <c r="B17">
        <f>IFERROR(__xludf.DUMMYFUNCTION("""COMPUTED_VALUE"""),40.6661359)</f>
        <v>40.6661359</v>
      </c>
      <c r="C17">
        <f>IFERROR(__xludf.DUMMYFUNCTION("""COMPUTED_VALUE"""),16.6117184)</f>
        <v>16.6117184</v>
      </c>
      <c r="D17" t="str">
        <f>IFERROR(__xludf.DUMMYFUNCTION("""COMPUTED_VALUE"""),"Albergo")</f>
        <v>Albergo</v>
      </c>
      <c r="E17" t="str">
        <f>IFERROR(__xludf.DUMMYFUNCTION("""COMPUTED_VALUE"""),"PALAZZO DEL DUCA")</f>
        <v>PALAZZO DEL DUCA</v>
      </c>
      <c r="F17" t="str">
        <f>IFERROR(__xludf.DUMMYFUNCTION("""COMPUTED_VALUE"""),"RF BUILDING SRL")</f>
        <v>RF BUILDING SRL</v>
      </c>
      <c r="G17" t="str">
        <f>IFERROR(__xludf.DUMMYFUNCTION("""COMPUTED_VALUE"""),"VIA MURO 44 AL 52")</f>
        <v>VIA MURO 44 AL 52</v>
      </c>
      <c r="H17" t="str">
        <f>IFERROR(__xludf.DUMMYFUNCTION("""COMPUTED_VALUE"""),"4stelle")</f>
        <v>4stelle</v>
      </c>
      <c r="I17" t="str">
        <f>IFERROR(__xludf.DUMMYFUNCTION("""COMPUTED_VALUE"""),"Italy")</f>
        <v>Italy</v>
      </c>
      <c r="J17">
        <f>IFERROR(__xludf.DUMMYFUNCTION("""COMPUTED_VALUE"""),159.0)</f>
        <v>159</v>
      </c>
      <c r="K17" t="str">
        <f>IFERROR(__xludf.DUMMYFUNCTION("""COMPUTED_VALUE"""),"Matera")</f>
        <v>Matera</v>
      </c>
      <c r="L17">
        <f>IFERROR(__xludf.DUMMYFUNCTION("""COMPUTED_VALUE"""),1434.0)</f>
        <v>1434</v>
      </c>
      <c r="M17">
        <f>IFERROR(__xludf.DUMMYFUNCTION("""COMPUTED_VALUE"""),2.0)</f>
        <v>2</v>
      </c>
      <c r="N17">
        <f>IFERROR(__xludf.DUMMYFUNCTION("""COMPUTED_VALUE"""),18.0)</f>
        <v>18</v>
      </c>
    </row>
    <row r="18">
      <c r="A18">
        <f>IFERROR(__xludf.DUMMYFUNCTION("""COMPUTED_VALUE"""),431.0)</f>
        <v>431</v>
      </c>
      <c r="B18">
        <f>IFERROR(__xludf.DUMMYFUNCTION("""COMPUTED_VALUE"""),40.6639544)</f>
        <v>40.6639544</v>
      </c>
      <c r="C18">
        <f>IFERROR(__xludf.DUMMYFUNCTION("""COMPUTED_VALUE"""),16.6111861)</f>
        <v>16.6111861</v>
      </c>
      <c r="D18" t="str">
        <f>IFERROR(__xludf.DUMMYFUNCTION("""COMPUTED_VALUE"""),"borgo albergo")</f>
        <v>borgo albergo</v>
      </c>
      <c r="E18" t="str">
        <f>IFERROR(__xludf.DUMMYFUNCTION("""COMPUTED_VALUE"""),"HOTEL SAN PIETRO")</f>
        <v>HOTEL SAN PIETRO</v>
      </c>
      <c r="F18" t="str">
        <f>IFERROR(__xludf.DUMMYFUNCTION("""COMPUTED_VALUE"""),"DE MONTIGNY")</f>
        <v>DE MONTIGNY</v>
      </c>
      <c r="G18" t="str">
        <f>IFERROR(__xludf.DUMMYFUNCTION("""COMPUTED_VALUE"""),"VIA BRUNO BUOZZI 97")</f>
        <v>VIA BRUNO BUOZZI 97</v>
      </c>
      <c r="H18" t="str">
        <f>IFERROR(__xludf.DUMMYFUNCTION("""COMPUTED_VALUE"""),"4stelle")</f>
        <v>4stelle</v>
      </c>
      <c r="I18" t="str">
        <f>IFERROR(__xludf.DUMMYFUNCTION("""COMPUTED_VALUE"""),"Italy")</f>
        <v>Italy</v>
      </c>
      <c r="J18">
        <f>IFERROR(__xludf.DUMMYFUNCTION("""COMPUTED_VALUE"""),159.0)</f>
        <v>159</v>
      </c>
      <c r="K18" t="str">
        <f>IFERROR(__xludf.DUMMYFUNCTION("""COMPUTED_VALUE"""),"Matera")</f>
        <v>Matera</v>
      </c>
      <c r="L18">
        <f>IFERROR(__xludf.DUMMYFUNCTION("""COMPUTED_VALUE"""),2105.0)</f>
        <v>2105</v>
      </c>
      <c r="M18">
        <f>IFERROR(__xludf.DUMMYFUNCTION("""COMPUTED_VALUE"""),11.0)</f>
        <v>11</v>
      </c>
      <c r="N18">
        <f>IFERROR(__xludf.DUMMYFUNCTION("""COMPUTED_VALUE"""),30.0)</f>
        <v>30</v>
      </c>
    </row>
    <row r="19">
      <c r="A19">
        <f>IFERROR(__xludf.DUMMYFUNCTION("""COMPUTED_VALUE"""),777.0)</f>
        <v>777</v>
      </c>
      <c r="B19">
        <f>IFERROR(__xludf.DUMMYFUNCTION("""COMPUTED_VALUE"""),40.6670717356904)</f>
        <v>40.66707174</v>
      </c>
      <c r="C19">
        <f>IFERROR(__xludf.DUMMYFUNCTION("""COMPUTED_VALUE"""),16.6036526773065)</f>
        <v>16.60365268</v>
      </c>
      <c r="D19" t="str">
        <f>IFERROR(__xludf.DUMMYFUNCTION("""COMPUTED_VALUE"""),"Albergo")</f>
        <v>Albergo</v>
      </c>
      <c r="E19" t="str">
        <f>IFERROR(__xludf.DUMMYFUNCTION("""COMPUTED_VALUE"""),"ALBERGO ROMA")</f>
        <v>ALBERGO ROMA</v>
      </c>
      <c r="F19" t="str">
        <f>IFERROR(__xludf.DUMMYFUNCTION("""COMPUTED_VALUE"""),"TORTORELLI GIOVANNI")</f>
        <v>TORTORELLI GIOVANNI</v>
      </c>
      <c r="G19" t="str">
        <f>IFERROR(__xludf.DUMMYFUNCTION("""COMPUTED_VALUE"""),"Via Roma  62")</f>
        <v>Via Roma  62</v>
      </c>
      <c r="H19" t="str">
        <f>IFERROR(__xludf.DUMMYFUNCTION("""COMPUTED_VALUE"""),"2stelle")</f>
        <v>2stelle</v>
      </c>
      <c r="I19" t="str">
        <f>IFERROR(__xludf.DUMMYFUNCTION("""COMPUTED_VALUE"""),"Italy")</f>
        <v>Italy</v>
      </c>
      <c r="J19">
        <f>IFERROR(__xludf.DUMMYFUNCTION("""COMPUTED_VALUE"""),159.0)</f>
        <v>159</v>
      </c>
      <c r="K19" t="str">
        <f>IFERROR(__xludf.DUMMYFUNCTION("""COMPUTED_VALUE"""),"Matera")</f>
        <v>Matera</v>
      </c>
      <c r="L19">
        <f>IFERROR(__xludf.DUMMYFUNCTION("""COMPUTED_VALUE"""),3772.0)</f>
        <v>3772</v>
      </c>
      <c r="M19">
        <f>IFERROR(__xludf.DUMMYFUNCTION("""COMPUTED_VALUE"""),7.0)</f>
        <v>7</v>
      </c>
      <c r="N19">
        <f>IFERROR(__xludf.DUMMYFUNCTION("""COMPUTED_VALUE"""),15.0)</f>
        <v>15</v>
      </c>
    </row>
    <row r="20">
      <c r="A20">
        <f>IFERROR(__xludf.DUMMYFUNCTION("""COMPUTED_VALUE"""),432.0)</f>
        <v>432</v>
      </c>
      <c r="B20">
        <f>IFERROR(__xludf.DUMMYFUNCTION("""COMPUTED_VALUE"""),40.6642873387665)</f>
        <v>40.66428734</v>
      </c>
      <c r="C20">
        <f>IFERROR(__xludf.DUMMYFUNCTION("""COMPUTED_VALUE"""),16.610654955816)</f>
        <v>16.61065496</v>
      </c>
      <c r="D20" t="str">
        <f>IFERROR(__xludf.DUMMYFUNCTION("""COMPUTED_VALUE"""),"Albergo")</f>
        <v>Albergo</v>
      </c>
      <c r="E20" t="str">
        <f>IFERROR(__xludf.DUMMYFUNCTION("""COMPUTED_VALUE"""),"CASA DI LUCIO")</f>
        <v>CASA DI LUCIO</v>
      </c>
      <c r="F20" t="str">
        <f>IFERROR(__xludf.DUMMYFUNCTION("""COMPUTED_VALUE"""),"NICOLA LUCIO RUSCIGNO")</f>
        <v>NICOLA LUCIO RUSCIGNO</v>
      </c>
      <c r="G20" t="str">
        <f>IFERROR(__xludf.DUMMYFUNCTION("""COMPUTED_VALUE"""),"via san pietro caveoso 66")</f>
        <v>via san pietro caveoso 66</v>
      </c>
      <c r="H20" t="str">
        <f>IFERROR(__xludf.DUMMYFUNCTION("""COMPUTED_VALUE"""),"4stelle")</f>
        <v>4stelle</v>
      </c>
      <c r="I20" t="str">
        <f>IFERROR(__xludf.DUMMYFUNCTION("""COMPUTED_VALUE"""),"Italy")</f>
        <v>Italy</v>
      </c>
      <c r="J20">
        <f>IFERROR(__xludf.DUMMYFUNCTION("""COMPUTED_VALUE"""),159.0)</f>
        <v>159</v>
      </c>
      <c r="K20" t="str">
        <f>IFERROR(__xludf.DUMMYFUNCTION("""COMPUTED_VALUE"""),"Matera")</f>
        <v>Matera</v>
      </c>
      <c r="L20">
        <f>IFERROR(__xludf.DUMMYFUNCTION("""COMPUTED_VALUE"""),1766.0)</f>
        <v>1766</v>
      </c>
      <c r="M20">
        <f>IFERROR(__xludf.DUMMYFUNCTION("""COMPUTED_VALUE"""),2.0)</f>
        <v>2</v>
      </c>
      <c r="N20">
        <f>IFERROR(__xludf.DUMMYFUNCTION("""COMPUTED_VALUE"""),18.0)</f>
        <v>18</v>
      </c>
    </row>
    <row r="21">
      <c r="A21">
        <f>IFERROR(__xludf.DUMMYFUNCTION("""COMPUTED_VALUE"""),778.0)</f>
        <v>778</v>
      </c>
      <c r="B21">
        <f>IFERROR(__xludf.DUMMYFUNCTION("""COMPUTED_VALUE"""),40.6679021371175)</f>
        <v>40.66790214</v>
      </c>
      <c r="C21">
        <f>IFERROR(__xludf.DUMMYFUNCTION("""COMPUTED_VALUE"""),16.6097756251878)</f>
        <v>16.60977563</v>
      </c>
      <c r="D21" t="str">
        <f>IFERROR(__xludf.DUMMYFUNCTION("""COMPUTED_VALUE"""),"Albergo")</f>
        <v>Albergo</v>
      </c>
      <c r="E21" t="str">
        <f>IFERROR(__xludf.DUMMYFUNCTION("""COMPUTED_VALUE"""),"FRA I SASSI RESIDENCE")</f>
        <v>FRA I SASSI RESIDENCE</v>
      </c>
      <c r="F21" t="str">
        <f>IFERROR(__xludf.DUMMYFUNCTION("""COMPUTED_VALUE"""),"MARIA CRISTINA AMENTA")</f>
        <v>MARIA CRISTINA AMENTA</v>
      </c>
      <c r="G21" t="str">
        <f>IFERROR(__xludf.DUMMYFUNCTION("""COMPUTED_VALUE"""),"via d'addozio 102")</f>
        <v>via d'addozio 102</v>
      </c>
      <c r="H21" t="str">
        <f>IFERROR(__xludf.DUMMYFUNCTION("""COMPUTED_VALUE"""),"3stelle")</f>
        <v>3stelle</v>
      </c>
      <c r="I21" t="str">
        <f>IFERROR(__xludf.DUMMYFUNCTION("""COMPUTED_VALUE"""),"Italy")</f>
        <v>Italy</v>
      </c>
      <c r="J21">
        <f>IFERROR(__xludf.DUMMYFUNCTION("""COMPUTED_VALUE"""),159.0)</f>
        <v>159</v>
      </c>
      <c r="K21" t="str">
        <f>IFERROR(__xludf.DUMMYFUNCTION("""COMPUTED_VALUE"""),"Matera")</f>
        <v>Matera</v>
      </c>
      <c r="L21">
        <f>IFERROR(__xludf.DUMMYFUNCTION("""COMPUTED_VALUE"""),279.0)</f>
        <v>279</v>
      </c>
      <c r="M21">
        <f>IFERROR(__xludf.DUMMYFUNCTION("""COMPUTED_VALUE"""),17.0)</f>
        <v>17</v>
      </c>
      <c r="N21">
        <f>IFERROR(__xludf.DUMMYFUNCTION("""COMPUTED_VALUE"""),36.0)</f>
        <v>36</v>
      </c>
    </row>
    <row r="22">
      <c r="A22">
        <f>IFERROR(__xludf.DUMMYFUNCTION("""COMPUTED_VALUE"""),779.0)</f>
        <v>779</v>
      </c>
      <c r="B22">
        <f>IFERROR(__xludf.DUMMYFUNCTION("""COMPUTED_VALUE"""),40.720184)</f>
        <v>40.720184</v>
      </c>
      <c r="C22">
        <f>IFERROR(__xludf.DUMMYFUNCTION("""COMPUTED_VALUE"""),16.58084)</f>
        <v>16.58084</v>
      </c>
      <c r="D22" t="str">
        <f>IFERROR(__xludf.DUMMYFUNCTION("""COMPUTED_VALUE"""),"Albergo")</f>
        <v>Albergo</v>
      </c>
      <c r="E22" t="str">
        <f>IFERROR(__xludf.DUMMYFUNCTION("""COMPUTED_VALUE"""),"HM MATERA HOTEL")</f>
        <v>HM MATERA HOTEL</v>
      </c>
      <c r="F22" t="str">
        <f>IFERROR(__xludf.DUMMYFUNCTION("""COMPUTED_VALUE"""),"GESTIN MATERA SRL")</f>
        <v>GESTIN MATERA SRL</v>
      </c>
      <c r="G22" t="str">
        <f>IFERROR(__xludf.DUMMYFUNCTION("""COMPUTED_VALUE"""),"Via Germania - loc. Venusio")</f>
        <v>Via Germania - loc. Venusio</v>
      </c>
      <c r="H22" t="str">
        <f>IFERROR(__xludf.DUMMYFUNCTION("""COMPUTED_VALUE"""),"4stelle")</f>
        <v>4stelle</v>
      </c>
      <c r="I22" t="str">
        <f>IFERROR(__xludf.DUMMYFUNCTION("""COMPUTED_VALUE"""),"Italy")</f>
        <v>Italy</v>
      </c>
      <c r="J22" t="str">
        <f>IFERROR(__xludf.DUMMYFUNCTION("""COMPUTED_VALUE"""),"")</f>
        <v/>
      </c>
      <c r="K22" t="str">
        <f>IFERROR(__xludf.DUMMYFUNCTION("""COMPUTED_VALUE"""),"Matera")</f>
        <v>Matera</v>
      </c>
      <c r="L22" t="str">
        <f>IFERROR(__xludf.DUMMYFUNCTION("""COMPUTED_VALUE"""),"")</f>
        <v/>
      </c>
      <c r="M22" t="str">
        <f>IFERROR(__xludf.DUMMYFUNCTION("""COMPUTED_VALUE"""),"")</f>
        <v/>
      </c>
      <c r="N22">
        <f>IFERROR(__xludf.DUMMYFUNCTION("""COMPUTED_VALUE"""),244.0)</f>
        <v>244</v>
      </c>
    </row>
    <row r="23">
      <c r="A23">
        <f>IFERROR(__xludf.DUMMYFUNCTION("""COMPUTED_VALUE"""),780.0)</f>
        <v>780</v>
      </c>
      <c r="B23">
        <f>IFERROR(__xludf.DUMMYFUNCTION("""COMPUTED_VALUE"""),40.66491)</f>
        <v>40.66491</v>
      </c>
      <c r="C23">
        <f>IFERROR(__xludf.DUMMYFUNCTION("""COMPUTED_VALUE"""),16.6114)</f>
        <v>16.6114</v>
      </c>
      <c r="D23" t="str">
        <f>IFERROR(__xludf.DUMMYFUNCTION("""COMPUTED_VALUE"""),"Albergo")</f>
        <v>Albergo</v>
      </c>
      <c r="E23" t="str">
        <f>IFERROR(__xludf.DUMMYFUNCTION("""COMPUTED_VALUE"""),"HOTEL CAVEOSO")</f>
        <v>HOTEL CAVEOSO</v>
      </c>
      <c r="F23" t="str">
        <f>IFERROR(__xludf.DUMMYFUNCTION("""COMPUTED_VALUE"""),"MAZZEI PIETRANTONIO")</f>
        <v>MAZZEI PIETRANTONIO</v>
      </c>
      <c r="G23" t="str">
        <f>IFERROR(__xludf.DUMMYFUNCTION("""COMPUTED_VALUE"""),"Rione Pianelle  26/33")</f>
        <v>Rione Pianelle  26/33</v>
      </c>
      <c r="H23" t="str">
        <f>IFERROR(__xludf.DUMMYFUNCTION("""COMPUTED_VALUE"""),"3stelle")</f>
        <v>3stelle</v>
      </c>
      <c r="I23" t="str">
        <f>IFERROR(__xludf.DUMMYFUNCTION("""COMPUTED_VALUE"""),"Italy")</f>
        <v>Italy</v>
      </c>
      <c r="J23">
        <f>IFERROR(__xludf.DUMMYFUNCTION("""COMPUTED_VALUE"""),159.0)</f>
        <v>159</v>
      </c>
      <c r="K23" t="str">
        <f>IFERROR(__xludf.DUMMYFUNCTION("""COMPUTED_VALUE"""),"Matera")</f>
        <v>Matera</v>
      </c>
      <c r="L23">
        <f>IFERROR(__xludf.DUMMYFUNCTION("""COMPUTED_VALUE"""),1698.0)</f>
        <v>1698</v>
      </c>
      <c r="M23">
        <f>IFERROR(__xludf.DUMMYFUNCTION("""COMPUTED_VALUE"""),2.0)</f>
        <v>2</v>
      </c>
      <c r="N23">
        <f>IFERROR(__xludf.DUMMYFUNCTION("""COMPUTED_VALUE"""),37.0)</f>
        <v>37</v>
      </c>
    </row>
    <row r="24">
      <c r="A24">
        <f>IFERROR(__xludf.DUMMYFUNCTION("""COMPUTED_VALUE"""),781.0)</f>
        <v>781</v>
      </c>
      <c r="B24">
        <f>IFERROR(__xludf.DUMMYFUNCTION("""COMPUTED_VALUE"""),40.6812996792335)</f>
        <v>40.68129968</v>
      </c>
      <c r="C24">
        <f>IFERROR(__xludf.DUMMYFUNCTION("""COMPUTED_VALUE"""),16.5838246494488)</f>
        <v>16.58382465</v>
      </c>
      <c r="D24" t="str">
        <f>IFERROR(__xludf.DUMMYFUNCTION("""COMPUTED_VALUE"""),"Albergo")</f>
        <v>Albergo</v>
      </c>
      <c r="E24" t="str">
        <f>IFERROR(__xludf.DUMMYFUNCTION("""COMPUTED_VALUE"""),"HOTEL DEL CAMPO")</f>
        <v>HOTEL DEL CAMPO</v>
      </c>
      <c r="F24" t="str">
        <f>IFERROR(__xludf.DUMMYFUNCTION("""COMPUTED_VALUE"""),"PASSARELLI CARLA")</f>
        <v>PASSARELLI CARLA</v>
      </c>
      <c r="G24" t="str">
        <f>IFERROR(__xludf.DUMMYFUNCTION("""COMPUTED_VALUE"""),"Via Lucrezio  s.n.")</f>
        <v>Via Lucrezio  s.n.</v>
      </c>
      <c r="H24" t="str">
        <f>IFERROR(__xludf.DUMMYFUNCTION("""COMPUTED_VALUE"""),"4stelle")</f>
        <v>4stelle</v>
      </c>
      <c r="I24" t="str">
        <f>IFERROR(__xludf.DUMMYFUNCTION("""COMPUTED_VALUE"""),"Italy")</f>
        <v>Italy</v>
      </c>
      <c r="J24">
        <f>IFERROR(__xludf.DUMMYFUNCTION("""COMPUTED_VALUE"""),51.0)</f>
        <v>51</v>
      </c>
      <c r="K24" t="str">
        <f>IFERROR(__xludf.DUMMYFUNCTION("""COMPUTED_VALUE"""),"Matera")</f>
        <v>Matera</v>
      </c>
      <c r="L24">
        <f>IFERROR(__xludf.DUMMYFUNCTION("""COMPUTED_VALUE"""),9.0)</f>
        <v>9</v>
      </c>
      <c r="M24">
        <f>IFERROR(__xludf.DUMMYFUNCTION("""COMPUTED_VALUE"""),3.0)</f>
        <v>3</v>
      </c>
      <c r="N24">
        <f>IFERROR(__xludf.DUMMYFUNCTION("""COMPUTED_VALUE"""),78.0)</f>
        <v>78</v>
      </c>
    </row>
    <row r="25">
      <c r="A25">
        <f>IFERROR(__xludf.DUMMYFUNCTION("""COMPUTED_VALUE"""),782.0)</f>
        <v>782</v>
      </c>
      <c r="B25">
        <f>IFERROR(__xludf.DUMMYFUNCTION("""COMPUTED_VALUE"""),40.667489)</f>
        <v>40.667489</v>
      </c>
      <c r="C25">
        <f>IFERROR(__xludf.DUMMYFUNCTION("""COMPUTED_VALUE"""),16.609345)</f>
        <v>16.609345</v>
      </c>
      <c r="D25" t="str">
        <f>IFERROR(__xludf.DUMMYFUNCTION("""COMPUTED_VALUE"""),"Albergo")</f>
        <v>Albergo</v>
      </c>
      <c r="E25" t="str">
        <f>IFERROR(__xludf.DUMMYFUNCTION("""COMPUTED_VALUE"""),"HOTEL IN PIETRA")</f>
        <v>HOTEL IN PIETRA</v>
      </c>
      <c r="F25" t="str">
        <f>IFERROR(__xludf.DUMMYFUNCTION("""COMPUTED_VALUE"""),"CRISTALLO ROBERTO")</f>
        <v>CRISTALLO ROBERTO</v>
      </c>
      <c r="G25" t="str">
        <f>IFERROR(__xludf.DUMMYFUNCTION("""COMPUTED_VALUE"""),"Via San Giovanni Vecchio  17/18/19/20/21/22")</f>
        <v>Via San Giovanni Vecchio  17/18/19/20/21/22</v>
      </c>
      <c r="H25" t="str">
        <f>IFERROR(__xludf.DUMMYFUNCTION("""COMPUTED_VALUE"""),"3stelle")</f>
        <v>3stelle</v>
      </c>
      <c r="I25" t="str">
        <f>IFERROR(__xludf.DUMMYFUNCTION("""COMPUTED_VALUE"""),"Italy")</f>
        <v>Italy</v>
      </c>
      <c r="J25" t="str">
        <f>IFERROR(__xludf.DUMMYFUNCTION("""COMPUTED_VALUE"""),"")</f>
        <v/>
      </c>
      <c r="K25" t="str">
        <f>IFERROR(__xludf.DUMMYFUNCTION("""COMPUTED_VALUE"""),"Matera")</f>
        <v>Matera</v>
      </c>
      <c r="L25" t="str">
        <f>IFERROR(__xludf.DUMMYFUNCTION("""COMPUTED_VALUE"""),"")</f>
        <v/>
      </c>
      <c r="M25" t="str">
        <f>IFERROR(__xludf.DUMMYFUNCTION("""COMPUTED_VALUE"""),"")</f>
        <v/>
      </c>
      <c r="N25">
        <f>IFERROR(__xludf.DUMMYFUNCTION("""COMPUTED_VALUE"""),18.0)</f>
        <v>18</v>
      </c>
    </row>
    <row r="26">
      <c r="A26">
        <f>IFERROR(__xludf.DUMMYFUNCTION("""COMPUTED_VALUE"""),783.0)</f>
        <v>783</v>
      </c>
      <c r="B26">
        <f>IFERROR(__xludf.DUMMYFUNCTION("""COMPUTED_VALUE"""),40.6996238807674)</f>
        <v>40.69962388</v>
      </c>
      <c r="C26">
        <f>IFERROR(__xludf.DUMMYFUNCTION("""COMPUTED_VALUE"""),16.5861991871022)</f>
        <v>16.58619919</v>
      </c>
      <c r="D26" t="str">
        <f>IFERROR(__xludf.DUMMYFUNCTION("""COMPUTED_VALUE"""),"Albergo")</f>
        <v>Albergo</v>
      </c>
      <c r="E26" t="str">
        <f>IFERROR(__xludf.DUMMYFUNCTION("""COMPUTED_VALUE"""),"HOTEL LA CORTE")</f>
        <v>HOTEL LA CORTE</v>
      </c>
      <c r="F26" t="str">
        <f>IFERROR(__xludf.DUMMYFUNCTION("""COMPUTED_VALUE"""),"DERI SRL")</f>
        <v>DERI SRL</v>
      </c>
      <c r="G26" t="str">
        <f>IFERROR(__xludf.DUMMYFUNCTION("""COMPUTED_VALUE"""),"S.S. 99 - Km. 14 690")</f>
        <v>S.S. 99 - Km. 14 690</v>
      </c>
      <c r="H26" t="str">
        <f>IFERROR(__xludf.DUMMYFUNCTION("""COMPUTED_VALUE"""),"4stelle")</f>
        <v>4stelle</v>
      </c>
      <c r="I26" t="str">
        <f>IFERROR(__xludf.DUMMYFUNCTION("""COMPUTED_VALUE"""),"Italy")</f>
        <v>Italy</v>
      </c>
      <c r="J26">
        <f>IFERROR(__xludf.DUMMYFUNCTION("""COMPUTED_VALUE"""),30.0)</f>
        <v>30</v>
      </c>
      <c r="K26" t="str">
        <f>IFERROR(__xludf.DUMMYFUNCTION("""COMPUTED_VALUE"""),"Matera")</f>
        <v>Matera</v>
      </c>
      <c r="L26">
        <f>IFERROR(__xludf.DUMMYFUNCTION("""COMPUTED_VALUE"""),234.0)</f>
        <v>234</v>
      </c>
      <c r="M26" t="str">
        <f>IFERROR(__xludf.DUMMYFUNCTION("""COMPUTED_VALUE"""),"")</f>
        <v/>
      </c>
      <c r="N26">
        <f>IFERROR(__xludf.DUMMYFUNCTION("""COMPUTED_VALUE"""),88.0)</f>
        <v>88</v>
      </c>
    </row>
    <row r="27">
      <c r="A27">
        <f>IFERROR(__xludf.DUMMYFUNCTION("""COMPUTED_VALUE"""),784.0)</f>
        <v>784</v>
      </c>
      <c r="B27">
        <f>IFERROR(__xludf.DUMMYFUNCTION("""COMPUTED_VALUE"""),40.6626113267672)</f>
        <v>40.66261133</v>
      </c>
      <c r="C27">
        <f>IFERROR(__xludf.DUMMYFUNCTION("""COMPUTED_VALUE"""),16.6124492996068)</f>
        <v>16.6124493</v>
      </c>
      <c r="D27" t="str">
        <f>IFERROR(__xludf.DUMMYFUNCTION("""COMPUTED_VALUE"""),"Albergo")</f>
        <v>Albergo</v>
      </c>
      <c r="E27" t="str">
        <f>IFERROR(__xludf.DUMMYFUNCTION("""COMPUTED_VALUE"""),"HOTEL BASILIANI")</f>
        <v>HOTEL BASILIANI</v>
      </c>
      <c r="F27" t="str">
        <f>IFERROR(__xludf.DUMMYFUNCTION("""COMPUTED_VALUE"""),"MALVE SRL STAGNO GIUSEPPE")</f>
        <v>MALVE SRL STAGNO GIUSEPPE</v>
      </c>
      <c r="G27" t="str">
        <f>IFERROR(__xludf.DUMMYFUNCTION("""COMPUTED_VALUE"""),"rione casalnuovo106 ecc.")</f>
        <v>rione casalnuovo106 ecc.</v>
      </c>
      <c r="H27" t="str">
        <f>IFERROR(__xludf.DUMMYFUNCTION("""COMPUTED_VALUE"""),"3stelle")</f>
        <v>3stelle</v>
      </c>
      <c r="I27" t="str">
        <f>IFERROR(__xludf.DUMMYFUNCTION("""COMPUTED_VALUE"""),"Italy")</f>
        <v>Italy</v>
      </c>
      <c r="J27">
        <f>IFERROR(__xludf.DUMMYFUNCTION("""COMPUTED_VALUE"""),159.0)</f>
        <v>159</v>
      </c>
      <c r="K27" t="str">
        <f>IFERROR(__xludf.DUMMYFUNCTION("""COMPUTED_VALUE"""),"Matera")</f>
        <v>Matera</v>
      </c>
      <c r="L27">
        <f>IFERROR(__xludf.DUMMYFUNCTION("""COMPUTED_VALUE"""),2336.0)</f>
        <v>2336</v>
      </c>
      <c r="M27">
        <f>IFERROR(__xludf.DUMMYFUNCTION("""COMPUTED_VALUE"""),1.0)</f>
        <v>1</v>
      </c>
      <c r="N27">
        <f>IFERROR(__xludf.DUMMYFUNCTION("""COMPUTED_VALUE"""),35.0)</f>
        <v>35</v>
      </c>
    </row>
    <row r="28">
      <c r="A28">
        <f>IFERROR(__xludf.DUMMYFUNCTION("""COMPUTED_VALUE"""),785.0)</f>
        <v>785</v>
      </c>
      <c r="B28">
        <f>IFERROR(__xludf.DUMMYFUNCTION("""COMPUTED_VALUE"""),40.6832169584765)</f>
        <v>40.68321696</v>
      </c>
      <c r="C28">
        <f>IFERROR(__xludf.DUMMYFUNCTION("""COMPUTED_VALUE"""),16.592454590812)</f>
        <v>16.59245459</v>
      </c>
      <c r="D28" t="str">
        <f>IFERROR(__xludf.DUMMYFUNCTION("""COMPUTED_VALUE"""),"Albergo")</f>
        <v>Albergo</v>
      </c>
      <c r="E28" t="str">
        <f>IFERROR(__xludf.DUMMYFUNCTION("""COMPUTED_VALUE"""),"LA CAVA DEL SOLE HOTEL RESIDENCE")</f>
        <v>LA CAVA DEL SOLE HOTEL RESIDENCE</v>
      </c>
      <c r="F28" t="str">
        <f>IFERROR(__xludf.DUMMYFUNCTION("""COMPUTED_VALUE"""),"la vaglia srl grieco bruna")</f>
        <v>la vaglia srl grieco bruna</v>
      </c>
      <c r="G28" t="str">
        <f>IFERROR(__xludf.DUMMYFUNCTION("""COMPUTED_VALUE"""),"contrada la vaglia srl")</f>
        <v>contrada la vaglia srl</v>
      </c>
      <c r="H28" t="str">
        <f>IFERROR(__xludf.DUMMYFUNCTION("""COMPUTED_VALUE"""),"3stelle")</f>
        <v>3stelle</v>
      </c>
      <c r="I28" t="str">
        <f>IFERROR(__xludf.DUMMYFUNCTION("""COMPUTED_VALUE"""),"Italy")</f>
        <v>Italy</v>
      </c>
      <c r="J28">
        <f>IFERROR(__xludf.DUMMYFUNCTION("""COMPUTED_VALUE"""),70.0)</f>
        <v>70</v>
      </c>
      <c r="K28" t="str">
        <f>IFERROR(__xludf.DUMMYFUNCTION("""COMPUTED_VALUE"""),"Matera")</f>
        <v>Matera</v>
      </c>
      <c r="L28">
        <f>IFERROR(__xludf.DUMMYFUNCTION("""COMPUTED_VALUE"""),2119.0)</f>
        <v>2119</v>
      </c>
      <c r="M28">
        <f>IFERROR(__xludf.DUMMYFUNCTION("""COMPUTED_VALUE"""),2.0)</f>
        <v>2</v>
      </c>
      <c r="N28" t="str">
        <f>IFERROR(__xludf.DUMMYFUNCTION("""COMPUTED_VALUE"""),"")</f>
        <v/>
      </c>
    </row>
    <row r="29">
      <c r="A29">
        <f>IFERROR(__xludf.DUMMYFUNCTION("""COMPUTED_VALUE"""),787.0)</f>
        <v>787</v>
      </c>
      <c r="B29">
        <f>IFERROR(__xludf.DUMMYFUNCTION("""COMPUTED_VALUE"""),40.6848288928451)</f>
        <v>40.68482889</v>
      </c>
      <c r="C29">
        <f>IFERROR(__xludf.DUMMYFUNCTION("""COMPUTED_VALUE"""),16.5753247308789)</f>
        <v>16.57532473</v>
      </c>
      <c r="D29" t="str">
        <f>IFERROR(__xludf.DUMMYFUNCTION("""COMPUTED_VALUE"""),"Albergo")</f>
        <v>Albergo</v>
      </c>
      <c r="E29" t="str">
        <f>IFERROR(__xludf.DUMMYFUNCTION("""COMPUTED_VALUE"""),"MOTEL GIARDINELLE")</f>
        <v>MOTEL GIARDINELLE</v>
      </c>
      <c r="F29" t="str">
        <f>IFERROR(__xludf.DUMMYFUNCTION("""COMPUTED_VALUE"""),"CHIUSO")</f>
        <v>CHIUSO</v>
      </c>
      <c r="G29" t="str">
        <f>IFERROR(__xludf.DUMMYFUNCTION("""COMPUTED_VALUE"""),"via Gravina")</f>
        <v>via Gravina</v>
      </c>
      <c r="H29" t="str">
        <f>IFERROR(__xludf.DUMMYFUNCTION("""COMPUTED_VALUE"""),"2stelle")</f>
        <v>2stelle</v>
      </c>
      <c r="I29" t="str">
        <f>IFERROR(__xludf.DUMMYFUNCTION("""COMPUTED_VALUE"""),"Italy")</f>
        <v>Italy</v>
      </c>
      <c r="J29">
        <f>IFERROR(__xludf.DUMMYFUNCTION("""COMPUTED_VALUE"""),51.0)</f>
        <v>51</v>
      </c>
      <c r="K29" t="str">
        <f>IFERROR(__xludf.DUMMYFUNCTION("""COMPUTED_VALUE"""),"Matera")</f>
        <v>Matera</v>
      </c>
      <c r="L29">
        <f>IFERROR(__xludf.DUMMYFUNCTION("""COMPUTED_VALUE"""),602.0)</f>
        <v>602</v>
      </c>
      <c r="M29">
        <f>IFERROR(__xludf.DUMMYFUNCTION("""COMPUTED_VALUE"""),1.0)</f>
        <v>1</v>
      </c>
      <c r="N29">
        <f>IFERROR(__xludf.DUMMYFUNCTION("""COMPUTED_VALUE"""),20.0)</f>
        <v>20</v>
      </c>
    </row>
    <row r="30">
      <c r="A30">
        <f>IFERROR(__xludf.DUMMYFUNCTION("""COMPUTED_VALUE"""),788.0)</f>
        <v>788</v>
      </c>
      <c r="B30">
        <f>IFERROR(__xludf.DUMMYFUNCTION("""COMPUTED_VALUE"""),40.6633504566421)</f>
        <v>40.66335046</v>
      </c>
      <c r="C30">
        <f>IFERROR(__xludf.DUMMYFUNCTION("""COMPUTED_VALUE"""),16.5980047674983)</f>
        <v>16.59800477</v>
      </c>
      <c r="D30" t="str">
        <f>IFERROR(__xludf.DUMMYFUNCTION("""COMPUTED_VALUE"""),"Albergo")</f>
        <v>Albergo</v>
      </c>
      <c r="E30" t="str">
        <f>IFERROR(__xludf.DUMMYFUNCTION("""COMPUTED_VALUE"""),"PALACE HOTEL")</f>
        <v>PALACE HOTEL</v>
      </c>
      <c r="F30" t="str">
        <f>IFERROR(__xludf.DUMMYFUNCTION("""COMPUTED_VALUE"""),"SACCO CASAMASSIMA PIETRO")</f>
        <v>SACCO CASAMASSIMA PIETRO</v>
      </c>
      <c r="G30" t="str">
        <f>IFERROR(__xludf.DUMMYFUNCTION("""COMPUTED_VALUE"""),"Piazza Michele Bianco s.n.")</f>
        <v>Piazza Michele Bianco s.n.</v>
      </c>
      <c r="H30" t="str">
        <f>IFERROR(__xludf.DUMMYFUNCTION("""COMPUTED_VALUE"""),"4stelle")</f>
        <v>4stelle</v>
      </c>
      <c r="I30" t="str">
        <f>IFERROR(__xludf.DUMMYFUNCTION("""COMPUTED_VALUE"""),"Italy")</f>
        <v>Italy</v>
      </c>
      <c r="J30">
        <f>IFERROR(__xludf.DUMMYFUNCTION("""COMPUTED_VALUE"""),71.0)</f>
        <v>71</v>
      </c>
      <c r="K30" t="str">
        <f>IFERROR(__xludf.DUMMYFUNCTION("""COMPUTED_VALUE"""),"Matera")</f>
        <v>Matera</v>
      </c>
      <c r="L30">
        <f>IFERROR(__xludf.DUMMYFUNCTION("""COMPUTED_VALUE"""),1933.0)</f>
        <v>1933</v>
      </c>
      <c r="M30">
        <f>IFERROR(__xludf.DUMMYFUNCTION("""COMPUTED_VALUE"""),1.0)</f>
        <v>1</v>
      </c>
      <c r="N30">
        <f>IFERROR(__xludf.DUMMYFUNCTION("""COMPUTED_VALUE"""),110.0)</f>
        <v>110</v>
      </c>
    </row>
    <row r="31">
      <c r="A31">
        <f>IFERROR(__xludf.DUMMYFUNCTION("""COMPUTED_VALUE"""),789.0)</f>
        <v>789</v>
      </c>
      <c r="B31">
        <f>IFERROR(__xludf.DUMMYFUNCTION("""COMPUTED_VALUE"""),40.6673257702999)</f>
        <v>40.66732577</v>
      </c>
      <c r="C31">
        <f>IFERROR(__xludf.DUMMYFUNCTION("""COMPUTED_VALUE"""),16.6124680638313)</f>
        <v>16.61246806</v>
      </c>
      <c r="D31" t="str">
        <f>IFERROR(__xludf.DUMMYFUNCTION("""COMPUTED_VALUE"""),"Albergo")</f>
        <v>Albergo</v>
      </c>
      <c r="E31" t="str">
        <f>IFERROR(__xludf.DUMMYFUNCTION("""COMPUTED_VALUE"""),"SEXTANZIO- LE GROTTE DELLA CIVICA")</f>
        <v>SEXTANZIO- LE GROTTE DELLA CIVICA</v>
      </c>
      <c r="F31" t="str">
        <f>IFERROR(__xludf.DUMMYFUNCTION("""COMPUTED_VALUE"""),"DOM SRL")</f>
        <v>DOM SRL</v>
      </c>
      <c r="G31" t="str">
        <f>IFERROR(__xludf.DUMMYFUNCTION("""COMPUTED_VALUE"""),"via madonna delle virtu' 149")</f>
        <v>via madonna delle virtu' 149</v>
      </c>
      <c r="H31" t="str">
        <f>IFERROR(__xludf.DUMMYFUNCTION("""COMPUTED_VALUE"""),"4stelle")</f>
        <v>4stelle</v>
      </c>
      <c r="I31" t="str">
        <f>IFERROR(__xludf.DUMMYFUNCTION("""COMPUTED_VALUE"""),"Italy")</f>
        <v>Italy</v>
      </c>
      <c r="J31" t="str">
        <f>IFERROR(__xludf.DUMMYFUNCTION("""COMPUTED_VALUE"""),"")</f>
        <v/>
      </c>
      <c r="K31" t="str">
        <f>IFERROR(__xludf.DUMMYFUNCTION("""COMPUTED_VALUE"""),"Matera")</f>
        <v>Matera</v>
      </c>
      <c r="L31" t="str">
        <f>IFERROR(__xludf.DUMMYFUNCTION("""COMPUTED_VALUE"""),"")</f>
        <v/>
      </c>
      <c r="M31" t="str">
        <f>IFERROR(__xludf.DUMMYFUNCTION("""COMPUTED_VALUE"""),"")</f>
        <v/>
      </c>
      <c r="N31">
        <f>IFERROR(__xludf.DUMMYFUNCTION("""COMPUTED_VALUE"""),36.0)</f>
        <v>36</v>
      </c>
    </row>
    <row r="32">
      <c r="A32">
        <f>IFERROR(__xludf.DUMMYFUNCTION("""COMPUTED_VALUE"""),790.0)</f>
        <v>790</v>
      </c>
      <c r="B32">
        <f>IFERROR(__xludf.DUMMYFUNCTION("""COMPUTED_VALUE"""),40.7270175686185)</f>
        <v>40.72701757</v>
      </c>
      <c r="C32">
        <f>IFERROR(__xludf.DUMMYFUNCTION("""COMPUTED_VALUE"""),16.6030044467067)</f>
        <v>16.60300445</v>
      </c>
      <c r="D32" t="str">
        <f>IFERROR(__xludf.DUMMYFUNCTION("""COMPUTED_VALUE"""),"Albergo")</f>
        <v>Albergo</v>
      </c>
      <c r="E32" t="str">
        <f>IFERROR(__xludf.DUMMYFUNCTION("""COMPUTED_VALUE"""),"MASSERIA FONTANA DI VITE")</f>
        <v>MASSERIA FONTANA DI VITE</v>
      </c>
      <c r="F32" t="str">
        <f>IFERROR(__xludf.DUMMYFUNCTION("""COMPUTED_VALUE"""),"FAGIO SRL")</f>
        <v>FAGIO SRL</v>
      </c>
      <c r="G32" t="str">
        <f>IFERROR(__xludf.DUMMYFUNCTION("""COMPUTED_VALUE"""),"")</f>
        <v/>
      </c>
      <c r="H32" t="str">
        <f>IFERROR(__xludf.DUMMYFUNCTION("""COMPUTED_VALUE"""),"4stelle")</f>
        <v>4stelle</v>
      </c>
      <c r="I32" t="str">
        <f>IFERROR(__xludf.DUMMYFUNCTION("""COMPUTED_VALUE"""),"Italy")</f>
        <v>Italy</v>
      </c>
      <c r="J32">
        <f>IFERROR(__xludf.DUMMYFUNCTION("""COMPUTED_VALUE"""),15.0)</f>
        <v>15</v>
      </c>
      <c r="K32" t="str">
        <f>IFERROR(__xludf.DUMMYFUNCTION("""COMPUTED_VALUE"""),"Matera")</f>
        <v>Matera</v>
      </c>
      <c r="L32">
        <f>IFERROR(__xludf.DUMMYFUNCTION("""COMPUTED_VALUE"""),102.0)</f>
        <v>102</v>
      </c>
      <c r="M32">
        <f>IFERROR(__xludf.DUMMYFUNCTION("""COMPUTED_VALUE"""),1.0)</f>
        <v>1</v>
      </c>
      <c r="N32">
        <f>IFERROR(__xludf.DUMMYFUNCTION("""COMPUTED_VALUE"""),24.0)</f>
        <v>24</v>
      </c>
    </row>
    <row r="33">
      <c r="A33">
        <f>IFERROR(__xludf.DUMMYFUNCTION("""COMPUTED_VALUE"""),791.0)</f>
        <v>791</v>
      </c>
      <c r="B33">
        <f>IFERROR(__xludf.DUMMYFUNCTION("""COMPUTED_VALUE"""),40.7111599761488)</f>
        <v>40.71115998</v>
      </c>
      <c r="C33">
        <f>IFERROR(__xludf.DUMMYFUNCTION("""COMPUTED_VALUE"""),16.5797428905914)</f>
        <v>16.57974289</v>
      </c>
      <c r="D33" t="str">
        <f>IFERROR(__xludf.DUMMYFUNCTION("""COMPUTED_VALUE"""),"MOTEL")</f>
        <v>MOTEL</v>
      </c>
      <c r="E33" t="str">
        <f>IFERROR(__xludf.DUMMYFUNCTION("""COMPUTED_VALUE"""),"LA SOSTA")</f>
        <v>LA SOSTA</v>
      </c>
      <c r="F33" t="str">
        <f>IFERROR(__xludf.DUMMYFUNCTION("""COMPUTED_VALUE"""),"LA SOSTA SRL")</f>
        <v>LA SOSTA SRL</v>
      </c>
      <c r="G33" t="str">
        <f>IFERROR(__xludf.DUMMYFUNCTION("""COMPUTED_VALUE"""),"ND.MATERA/ALTAMURA KM.13 576 snc")</f>
        <v>ND.MATERA/ALTAMURA KM.13 576 snc</v>
      </c>
      <c r="H33" t="str">
        <f>IFERROR(__xludf.DUMMYFUNCTION("""COMPUTED_VALUE"""),"3stelle")</f>
        <v>3stelle</v>
      </c>
      <c r="I33" t="str">
        <f>IFERROR(__xludf.DUMMYFUNCTION("""COMPUTED_VALUE"""),"Italy")</f>
        <v>Italy</v>
      </c>
      <c r="J33">
        <f>IFERROR(__xludf.DUMMYFUNCTION("""COMPUTED_VALUE"""),13.0)</f>
        <v>13</v>
      </c>
      <c r="K33" t="str">
        <f>IFERROR(__xludf.DUMMYFUNCTION("""COMPUTED_VALUE"""),"Matera")</f>
        <v>Matera</v>
      </c>
      <c r="L33">
        <f>IFERROR(__xludf.DUMMYFUNCTION("""COMPUTED_VALUE"""),455.0)</f>
        <v>455</v>
      </c>
      <c r="M33">
        <f>IFERROR(__xludf.DUMMYFUNCTION("""COMPUTED_VALUE"""),5.0)</f>
        <v>5</v>
      </c>
      <c r="N33">
        <f>IFERROR(__xludf.DUMMYFUNCTION("""COMPUTED_VALUE"""),13.0)</f>
        <v>13</v>
      </c>
    </row>
    <row r="34">
      <c r="A34">
        <f>IFERROR(__xludf.DUMMYFUNCTION("""COMPUTED_VALUE"""),792.0)</f>
        <v>792</v>
      </c>
      <c r="B34">
        <f>IFERROR(__xludf.DUMMYFUNCTION("""COMPUTED_VALUE"""),40.7192832842195)</f>
        <v>40.71928328</v>
      </c>
      <c r="C34">
        <f>IFERROR(__xludf.DUMMYFUNCTION("""COMPUTED_VALUE"""),16.6643133678936)</f>
        <v>16.66431337</v>
      </c>
      <c r="D34" t="str">
        <f>IFERROR(__xludf.DUMMYFUNCTION("""COMPUTED_VALUE"""),"Albergo")</f>
        <v>Albergo</v>
      </c>
      <c r="E34" t="str">
        <f>IFERROR(__xludf.DUMMYFUNCTION("""COMPUTED_VALUE"""),"TENUTA DANESI")</f>
        <v>TENUTA DANESI</v>
      </c>
      <c r="F34" t="str">
        <f>IFERROR(__xludf.DUMMYFUNCTION("""COMPUTED_VALUE"""),"TENUTA DANESI SOC COOP. ")</f>
        <v>TENUTA DANESI SOC COOP. </v>
      </c>
      <c r="G34" t="str">
        <f>IFERROR(__xludf.DUMMYFUNCTION("""COMPUTED_VALUE"""),"CDA LE MATINE")</f>
        <v>CDA LE MATINE</v>
      </c>
      <c r="H34" t="str">
        <f>IFERROR(__xludf.DUMMYFUNCTION("""COMPUTED_VALUE"""),"")</f>
        <v/>
      </c>
      <c r="I34" t="str">
        <f>IFERROR(__xludf.DUMMYFUNCTION("""COMPUTED_VALUE"""),"Italy")</f>
        <v>Italy</v>
      </c>
      <c r="J34">
        <f>IFERROR(__xludf.DUMMYFUNCTION("""COMPUTED_VALUE"""),19.0)</f>
        <v>19</v>
      </c>
      <c r="K34" t="str">
        <f>IFERROR(__xludf.DUMMYFUNCTION("""COMPUTED_VALUE"""),"Matera")</f>
        <v>Matera</v>
      </c>
      <c r="L34">
        <f>IFERROR(__xludf.DUMMYFUNCTION("""COMPUTED_VALUE"""),242.0)</f>
        <v>242</v>
      </c>
      <c r="M34">
        <f>IFERROR(__xludf.DUMMYFUNCTION("""COMPUTED_VALUE"""),1.0)</f>
        <v>1</v>
      </c>
      <c r="N34">
        <f>IFERROR(__xludf.DUMMYFUNCTION("""COMPUTED_VALUE"""),9.0)</f>
        <v>9</v>
      </c>
    </row>
    <row r="35">
      <c r="A35">
        <f>IFERROR(__xludf.DUMMYFUNCTION("""COMPUTED_VALUE"""),793.0)</f>
        <v>793</v>
      </c>
      <c r="B35">
        <f>IFERROR(__xludf.DUMMYFUNCTION("""COMPUTED_VALUE"""),40.6628905379117)</f>
        <v>40.66289054</v>
      </c>
      <c r="C35">
        <f>IFERROR(__xludf.DUMMYFUNCTION("""COMPUTED_VALUE"""),16.6112994325645)</f>
        <v>16.61129943</v>
      </c>
      <c r="D35" t="str">
        <f>IFERROR(__xludf.DUMMYFUNCTION("""COMPUTED_VALUE"""),"Borgo albergo")</f>
        <v>Borgo albergo</v>
      </c>
      <c r="E35" t="str">
        <f>IFERROR(__xludf.DUMMYFUNCTION("""COMPUTED_VALUE"""),"AQUATIO CAVE LUXURY HOTEL")</f>
        <v>AQUATIO CAVE LUXURY HOTEL</v>
      </c>
      <c r="F35" t="str">
        <f>IFERROR(__xludf.DUMMYFUNCTION("""COMPUTED_VALUE"""),"DIERRESSETI' SRL")</f>
        <v>DIERRESSETI' SRL</v>
      </c>
      <c r="G35" t="str">
        <f>IFERROR(__xludf.DUMMYFUNCTION("""COMPUTED_VALUE"""),"VIA CONCHE 12")</f>
        <v>VIA CONCHE 12</v>
      </c>
      <c r="H35" t="str">
        <f>IFERROR(__xludf.DUMMYFUNCTION("""COMPUTED_VALUE"""),"5 stelle lusso")</f>
        <v>5 stelle lusso</v>
      </c>
      <c r="I35" t="str">
        <f>IFERROR(__xludf.DUMMYFUNCTION("""COMPUTED_VALUE"""),"Italy")</f>
        <v>Italy</v>
      </c>
      <c r="J35">
        <f>IFERROR(__xludf.DUMMYFUNCTION("""COMPUTED_VALUE"""),159.0)</f>
        <v>159</v>
      </c>
      <c r="K35" t="str">
        <f>IFERROR(__xludf.DUMMYFUNCTION("""COMPUTED_VALUE"""),"Matera")</f>
        <v>Matera</v>
      </c>
      <c r="L35">
        <f>IFERROR(__xludf.DUMMYFUNCTION("""COMPUTED_VALUE"""),1976.0)</f>
        <v>1976</v>
      </c>
      <c r="M35">
        <f>IFERROR(__xludf.DUMMYFUNCTION("""COMPUTED_VALUE"""),5.0)</f>
        <v>5</v>
      </c>
      <c r="N35">
        <f>IFERROR(__xludf.DUMMYFUNCTION("""COMPUTED_VALUE"""),99.0)</f>
        <v>99</v>
      </c>
    </row>
    <row r="36">
      <c r="A36">
        <f>IFERROR(__xludf.DUMMYFUNCTION("""COMPUTED_VALUE"""),794.0)</f>
        <v>794</v>
      </c>
      <c r="B36">
        <f>IFERROR(__xludf.DUMMYFUNCTION("""COMPUTED_VALUE"""),40.667751)</f>
        <v>40.667751</v>
      </c>
      <c r="C36">
        <f>IFERROR(__xludf.DUMMYFUNCTION("""COMPUTED_VALUE"""),16.611836)</f>
        <v>16.611836</v>
      </c>
      <c r="D36" t="str">
        <f>IFERROR(__xludf.DUMMYFUNCTION("""COMPUTED_VALUE"""),"Albergo")</f>
        <v>Albergo</v>
      </c>
      <c r="E36" t="str">
        <f>IFERROR(__xludf.DUMMYFUNCTION("""COMPUTED_VALUE"""),"CENOBIO HOTEL MATERA")</f>
        <v>CENOBIO HOTEL MATERA</v>
      </c>
      <c r="F36" t="str">
        <f>IFERROR(__xludf.DUMMYFUNCTION("""COMPUTED_VALUE"""),"CENOBIO SAS DI GAUDIANO MARIA LUCIA")</f>
        <v>CENOBIO SAS DI GAUDIANO MARIA LUCIA</v>
      </c>
      <c r="G36" t="str">
        <f>IFERROR(__xludf.DUMMYFUNCTION("""COMPUTED_VALUE"""),"VIA CIVITA 9,10,11,12,13,14,15")</f>
        <v>VIA CIVITA 9,10,11,12,13,14,15</v>
      </c>
      <c r="H36" t="str">
        <f>IFERROR(__xludf.DUMMYFUNCTION("""COMPUTED_VALUE"""),"4 stelle")</f>
        <v>4 stelle</v>
      </c>
      <c r="I36" t="str">
        <f>IFERROR(__xludf.DUMMYFUNCTION("""COMPUTED_VALUE"""),"Italy")</f>
        <v>Italy</v>
      </c>
      <c r="J36">
        <f>IFERROR(__xludf.DUMMYFUNCTION("""COMPUTED_VALUE"""),159.0)</f>
        <v>159</v>
      </c>
      <c r="K36" t="str">
        <f>IFERROR(__xludf.DUMMYFUNCTION("""COMPUTED_VALUE"""),"Matera")</f>
        <v>Matera</v>
      </c>
      <c r="L36">
        <f>IFERROR(__xludf.DUMMYFUNCTION("""COMPUTED_VALUE"""),1247.0)</f>
        <v>1247</v>
      </c>
      <c r="M36">
        <f>IFERROR(__xludf.DUMMYFUNCTION("""COMPUTED_VALUE"""),8.0)</f>
        <v>8</v>
      </c>
      <c r="N36">
        <f>IFERROR(__xludf.DUMMYFUNCTION("""COMPUTED_VALUE"""),24.0)</f>
        <v>24</v>
      </c>
    </row>
    <row r="37">
      <c r="A37">
        <f>IFERROR(__xludf.DUMMYFUNCTION("""COMPUTED_VALUE"""),795.0)</f>
        <v>795</v>
      </c>
      <c r="B37">
        <f>IFERROR(__xludf.DUMMYFUNCTION("""COMPUTED_VALUE"""),40.688078)</f>
        <v>40.688078</v>
      </c>
      <c r="C37">
        <f>IFERROR(__xludf.DUMMYFUNCTION("""COMPUTED_VALUE"""),16.54727)</f>
        <v>16.54727</v>
      </c>
      <c r="D37" t="str">
        <f>IFERROR(__xludf.DUMMYFUNCTION("""COMPUTED_VALUE"""),"Albergo")</f>
        <v>Albergo</v>
      </c>
      <c r="E37" t="str">
        <f>IFERROR(__xludf.DUMMYFUNCTION("""COMPUTED_VALUE"""),"FAST MOTEL")</f>
        <v>FAST MOTEL</v>
      </c>
      <c r="F37" t="str">
        <f>IFERROR(__xludf.DUMMYFUNCTION("""COMPUTED_VALUE"""),"AUXILIUM SOC.COOP")</f>
        <v>AUXILIUM SOC.COOP</v>
      </c>
      <c r="G37" t="str">
        <f>IFERROR(__xludf.DUMMYFUNCTION("""COMPUTED_VALUE"""),"")</f>
        <v/>
      </c>
      <c r="H37" t="str">
        <f>IFERROR(__xludf.DUMMYFUNCTION("""COMPUTED_VALUE"""),"")</f>
        <v/>
      </c>
      <c r="I37" t="str">
        <f>IFERROR(__xludf.DUMMYFUNCTION("""COMPUTED_VALUE"""),"Italy")</f>
        <v>Italy</v>
      </c>
      <c r="J37" t="str">
        <f>IFERROR(__xludf.DUMMYFUNCTION("""COMPUTED_VALUE"""),"")</f>
        <v/>
      </c>
      <c r="K37" t="str">
        <f>IFERROR(__xludf.DUMMYFUNCTION("""COMPUTED_VALUE"""),"Matera")</f>
        <v>Matera</v>
      </c>
      <c r="L37" t="str">
        <f>IFERROR(__xludf.DUMMYFUNCTION("""COMPUTED_VALUE"""),"")</f>
        <v/>
      </c>
      <c r="M37" t="str">
        <f>IFERROR(__xludf.DUMMYFUNCTION("""COMPUTED_VALUE"""),"")</f>
        <v/>
      </c>
      <c r="N37" t="str">
        <f>IFERROR(__xludf.DUMMYFUNCTION("""COMPUTED_VALUE"""),"")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IFERROR(__xludf.DUMMYFUNCTION("IMPORTDATA(""https://spreadsheets.google.com/tq?tqx=out:csv&amp;tq=select%20A,B,C,D,E,F,G,H,J,K,I,L,N,O%20&amp;key=1nSr-xXp7oHEWkKvvS3_keRN4yU4g_tcRQYlHiJUztpE&amp;gid=1549125310"")"),"ID")</f>
        <v>ID</v>
      </c>
      <c r="B1" t="str">
        <f>IFERROR(__xludf.DUMMYFUNCTION("""COMPUTED_VALUE"""),"LAT")</f>
        <v>LAT</v>
      </c>
      <c r="C1" t="str">
        <f>IFERROR(__xludf.DUMMYFUNCTION("""COMPUTED_VALUE"""),"LON")</f>
        <v>LON</v>
      </c>
      <c r="D1" t="str">
        <f>IFERROR(__xludf.DUMMYFUNCTION("""COMPUTED_VALUE"""),"TIPOLOGIA")</f>
        <v>TIPOLOGIA</v>
      </c>
      <c r="E1" t="str">
        <f>IFERROR(__xludf.DUMMYFUNCTION("""COMPUTED_VALUE"""),"name")</f>
        <v>name</v>
      </c>
      <c r="F1" t="str">
        <f>IFERROR(__xludf.DUMMYFUNCTION("""COMPUTED_VALUE"""),"LEGALE_RA")</f>
        <v>LEGALE_RA</v>
      </c>
      <c r="G1" t="str">
        <f>IFERROR(__xludf.DUMMYFUNCTION("""COMPUTED_VALUE"""),"UBICAZIONE")</f>
        <v>UBICAZIONE</v>
      </c>
      <c r="H1" t="str">
        <f>IFERROR(__xludf.DUMMYFUNCTION("""COMPUTED_VALUE"""),"City")</f>
        <v>City</v>
      </c>
      <c r="I1" t="str">
        <f>IFERROR(__xludf.DUMMYFUNCTION("""COMPUTED_VALUE"""),"FOGLIO")</f>
        <v>FOGLIO</v>
      </c>
      <c r="J1" t="str">
        <f>IFERROR(__xludf.DUMMYFUNCTION("""COMPUTED_VALUE"""),"PARTICELLA")</f>
        <v>PARTICELLA</v>
      </c>
      <c r="K1" t="str">
        <f>IFERROR(__xludf.DUMMYFUNCTION("""COMPUTED_VALUE"""),"Country")</f>
        <v>Country</v>
      </c>
      <c r="L1" t="str">
        <f>IFERROR(__xludf.DUMMYFUNCTION("""COMPUTED_VALUE"""),"SUB")</f>
        <v>SUB</v>
      </c>
      <c r="M1" t="str">
        <f>IFERROR(__xludf.DUMMYFUNCTION("""COMPUTED_VALUE"""),"POSTI LETTO")</f>
        <v>POSTI LETTO</v>
      </c>
      <c r="N1" t="str">
        <f>IFERROR(__xludf.DUMMYFUNCTION("""COMPUTED_VALUE"""),"DATA INIZIO ATTIVITA'")</f>
        <v>DATA INIZIO ATTIVITA'</v>
      </c>
    </row>
    <row r="2">
      <c r="A2">
        <f>IFERROR(__xludf.DUMMYFUNCTION("""COMPUTED_VALUE"""),278.0)</f>
        <v>278</v>
      </c>
      <c r="B2">
        <f>IFERROR(__xludf.DUMMYFUNCTION("""COMPUTED_VALUE"""),40.7259988)</f>
        <v>40.7259988</v>
      </c>
      <c r="C2">
        <f>IFERROR(__xludf.DUMMYFUNCTION("""COMPUTED_VALUE"""),16.5756483)</f>
        <v>16.5756483</v>
      </c>
      <c r="D2" t="str">
        <f>IFERROR(__xludf.DUMMYFUNCTION("""COMPUTED_VALUE"""),"Bed &amp; Breakfast")</f>
        <v>Bed &amp; Breakfast</v>
      </c>
      <c r="E2" t="str">
        <f>IFERROR(__xludf.DUMMYFUNCTION("""COMPUTED_VALUE"""),"ANGOLO FELICE")</f>
        <v>ANGOLO FELICE</v>
      </c>
      <c r="F2" t="str">
        <f>IFERROR(__xludf.DUMMYFUNCTION("""COMPUTED_VALUE"""),"REGA FRANCESCO")</f>
        <v>REGA FRANCESCO</v>
      </c>
      <c r="G2" t="str">
        <f>IFERROR(__xludf.DUMMYFUNCTION("""COMPUTED_VALUE"""),"via Ungheria 8")</f>
        <v>via Ungheria 8</v>
      </c>
      <c r="H2" t="str">
        <f>IFERROR(__xludf.DUMMYFUNCTION("""COMPUTED_VALUE"""),"Matera")</f>
        <v>Matera</v>
      </c>
      <c r="I2">
        <f>IFERROR(__xludf.DUMMYFUNCTION("""COMPUTED_VALUE"""),14.0)</f>
        <v>14</v>
      </c>
      <c r="J2">
        <f>IFERROR(__xludf.DUMMYFUNCTION("""COMPUTED_VALUE"""),1060.0)</f>
        <v>1060</v>
      </c>
      <c r="K2" t="str">
        <f>IFERROR(__xludf.DUMMYFUNCTION("""COMPUTED_VALUE"""),"Italy")</f>
        <v>Italy</v>
      </c>
      <c r="L2">
        <f>IFERROR(__xludf.DUMMYFUNCTION("""COMPUTED_VALUE"""),1.0)</f>
        <v>1</v>
      </c>
      <c r="M2">
        <f>IFERROR(__xludf.DUMMYFUNCTION("""COMPUTED_VALUE"""),6.0)</f>
        <v>6</v>
      </c>
      <c r="N2">
        <f>IFERROR(__xludf.DUMMYFUNCTION("""COMPUTED_VALUE"""),40812.0)</f>
        <v>40812</v>
      </c>
    </row>
    <row r="3">
      <c r="A3">
        <f>IFERROR(__xludf.DUMMYFUNCTION("""COMPUTED_VALUE"""),279.0)</f>
        <v>279</v>
      </c>
      <c r="B3">
        <f>IFERROR(__xludf.DUMMYFUNCTION("""COMPUTED_VALUE"""),40.665452)</f>
        <v>40.665452</v>
      </c>
      <c r="C3">
        <f>IFERROR(__xludf.DUMMYFUNCTION("""COMPUTED_VALUE"""),16.6101048)</f>
        <v>16.6101048</v>
      </c>
      <c r="D3" t="str">
        <f>IFERROR(__xludf.DUMMYFUNCTION("""COMPUTED_VALUE"""),"Bed &amp; Breakfast")</f>
        <v>Bed &amp; Breakfast</v>
      </c>
      <c r="E3" t="str">
        <f>IFERROR(__xludf.DUMMYFUNCTION("""COMPUTED_VALUE"""),"BELVEDERE")</f>
        <v>BELVEDERE</v>
      </c>
      <c r="F3" t="str">
        <f>IFERROR(__xludf.DUMMYFUNCTION("""COMPUTED_VALUE"""),"RITELLA ANTONIA")</f>
        <v>RITELLA ANTONIA</v>
      </c>
      <c r="G3" t="str">
        <f>IFERROR(__xludf.DUMMYFUNCTION("""COMPUTED_VALUE"""),"arco del sedile 4")</f>
        <v>arco del sedile 4</v>
      </c>
      <c r="H3" t="str">
        <f>IFERROR(__xludf.DUMMYFUNCTION("""COMPUTED_VALUE"""),"Matera")</f>
        <v>Matera</v>
      </c>
      <c r="I3">
        <f>IFERROR(__xludf.DUMMYFUNCTION("""COMPUTED_VALUE"""),159.0)</f>
        <v>159</v>
      </c>
      <c r="J3">
        <f>IFERROR(__xludf.DUMMYFUNCTION("""COMPUTED_VALUE"""),1498.0)</f>
        <v>1498</v>
      </c>
      <c r="K3" t="str">
        <f>IFERROR(__xludf.DUMMYFUNCTION("""COMPUTED_VALUE"""),"Italy")</f>
        <v>Italy</v>
      </c>
      <c r="L3">
        <f>IFERROR(__xludf.DUMMYFUNCTION("""COMPUTED_VALUE"""),18.0)</f>
        <v>18</v>
      </c>
      <c r="M3">
        <f>IFERROR(__xludf.DUMMYFUNCTION("""COMPUTED_VALUE"""),2.0)</f>
        <v>2</v>
      </c>
      <c r="N3">
        <f>IFERROR(__xludf.DUMMYFUNCTION("""COMPUTED_VALUE"""),41061.0)</f>
        <v>41061</v>
      </c>
    </row>
    <row r="4">
      <c r="A4">
        <f>IFERROR(__xludf.DUMMYFUNCTION("""COMPUTED_VALUE"""),280.0)</f>
        <v>280</v>
      </c>
      <c r="B4">
        <f>IFERROR(__xludf.DUMMYFUNCTION("""COMPUTED_VALUE"""),40.666178)</f>
        <v>40.666178</v>
      </c>
      <c r="C4">
        <f>IFERROR(__xludf.DUMMYFUNCTION("""COMPUTED_VALUE"""),16.6109311)</f>
        <v>16.6109311</v>
      </c>
      <c r="D4" t="str">
        <f>IFERROR(__xludf.DUMMYFUNCTION("""COMPUTED_VALUE"""),"Bed &amp; Breakfast")</f>
        <v>Bed &amp; Breakfast</v>
      </c>
      <c r="E4" t="str">
        <f>IFERROR(__xludf.DUMMYFUNCTION("""COMPUTED_VALUE"""),"DEL CASTELVECCHIO")</f>
        <v>DEL CASTELVECCHIO</v>
      </c>
      <c r="F4" t="str">
        <f>IFERROR(__xludf.DUMMYFUNCTION("""COMPUTED_VALUE"""),"CORETTI FRANCESCO")</f>
        <v>CORETTI FRANCESCO</v>
      </c>
      <c r="G4" t="str">
        <f>IFERROR(__xludf.DUMMYFUNCTION("""COMPUTED_VALUE"""),"salita castelvecchio 23")</f>
        <v>salita castelvecchio 23</v>
      </c>
      <c r="H4" t="str">
        <f>IFERROR(__xludf.DUMMYFUNCTION("""COMPUTED_VALUE"""),"Matera")</f>
        <v>Matera</v>
      </c>
      <c r="I4">
        <f>IFERROR(__xludf.DUMMYFUNCTION("""COMPUTED_VALUE"""),159.0)</f>
        <v>159</v>
      </c>
      <c r="J4">
        <f>IFERROR(__xludf.DUMMYFUNCTION("""COMPUTED_VALUE"""),1533.0)</f>
        <v>1533</v>
      </c>
      <c r="K4" t="str">
        <f>IFERROR(__xludf.DUMMYFUNCTION("""COMPUTED_VALUE"""),"Italy")</f>
        <v>Italy</v>
      </c>
      <c r="L4">
        <f>IFERROR(__xludf.DUMMYFUNCTION("""COMPUTED_VALUE"""),7.0)</f>
        <v>7</v>
      </c>
      <c r="M4">
        <f>IFERROR(__xludf.DUMMYFUNCTION("""COMPUTED_VALUE"""),8.0)</f>
        <v>8</v>
      </c>
      <c r="N4">
        <f>IFERROR(__xludf.DUMMYFUNCTION("""COMPUTED_VALUE"""),41045.0)</f>
        <v>41045</v>
      </c>
    </row>
    <row r="5">
      <c r="A5">
        <f>IFERROR(__xludf.DUMMYFUNCTION("""COMPUTED_VALUE"""),281.0)</f>
        <v>281</v>
      </c>
      <c r="B5">
        <f>IFERROR(__xludf.DUMMYFUNCTION("""COMPUTED_VALUE"""),40.658884)</f>
        <v>40.658884</v>
      </c>
      <c r="C5">
        <f>IFERROR(__xludf.DUMMYFUNCTION("""COMPUTED_VALUE"""),16.592437)</f>
        <v>16.592437</v>
      </c>
      <c r="D5" t="str">
        <f>IFERROR(__xludf.DUMMYFUNCTION("""COMPUTED_VALUE"""),"Bed &amp; Breakfast")</f>
        <v>Bed &amp; Breakfast</v>
      </c>
      <c r="E5" t="str">
        <f>IFERROR(__xludf.DUMMYFUNCTION("""COMPUTED_VALUE"""),"VILLA NICK HOUSE")</f>
        <v>VILLA NICK HOUSE</v>
      </c>
      <c r="F5" t="str">
        <f>IFERROR(__xludf.DUMMYFUNCTION("""COMPUTED_VALUE"""),"MANICONE NICOLA")</f>
        <v>MANICONE NICOLA</v>
      </c>
      <c r="G5" t="str">
        <f>IFERROR(__xludf.DUMMYFUNCTION("""COMPUTED_VALUE"""),"C.DA POZZO MISSEO")</f>
        <v>C.DA POZZO MISSEO</v>
      </c>
      <c r="H5" t="str">
        <f>IFERROR(__xludf.DUMMYFUNCTION("""COMPUTED_VALUE"""),"Matera")</f>
        <v>Matera</v>
      </c>
      <c r="I5">
        <f>IFERROR(__xludf.DUMMYFUNCTION("""COMPUTED_VALUE"""),100.0)</f>
        <v>100</v>
      </c>
      <c r="J5">
        <f>IFERROR(__xludf.DUMMYFUNCTION("""COMPUTED_VALUE"""),763.0)</f>
        <v>763</v>
      </c>
      <c r="K5" t="str">
        <f>IFERROR(__xludf.DUMMYFUNCTION("""COMPUTED_VALUE"""),"Italy")</f>
        <v>Italy</v>
      </c>
      <c r="L5">
        <f>IFERROR(__xludf.DUMMYFUNCTION("""COMPUTED_VALUE"""),1.0)</f>
        <v>1</v>
      </c>
      <c r="M5">
        <f>IFERROR(__xludf.DUMMYFUNCTION("""COMPUTED_VALUE"""),4.0)</f>
        <v>4</v>
      </c>
      <c r="N5">
        <f>IFERROR(__xludf.DUMMYFUNCTION("""COMPUTED_VALUE"""),40721.0)</f>
        <v>40721</v>
      </c>
    </row>
    <row r="6">
      <c r="A6">
        <f>IFERROR(__xludf.DUMMYFUNCTION("""COMPUTED_VALUE"""),282.0)</f>
        <v>282</v>
      </c>
      <c r="B6">
        <f>IFERROR(__xludf.DUMMYFUNCTION("""COMPUTED_VALUE"""),40.666601)</f>
        <v>40.666601</v>
      </c>
      <c r="C6">
        <f>IFERROR(__xludf.DUMMYFUNCTION("""COMPUTED_VALUE"""),16.608135)</f>
        <v>16.608135</v>
      </c>
      <c r="D6" t="str">
        <f>IFERROR(__xludf.DUMMYFUNCTION("""COMPUTED_VALUE"""),"Bed &amp; Breakfast")</f>
        <v>Bed &amp; Breakfast</v>
      </c>
      <c r="E6" t="str">
        <f>IFERROR(__xludf.DUMMYFUNCTION("""COMPUTED_VALUE"""),"FIORENTINI")</f>
        <v>FIORENTINI</v>
      </c>
      <c r="F6" t="str">
        <f>IFERROR(__xludf.DUMMYFUNCTION("""COMPUTED_VALUE"""),"LOGALLO GIOVANNI")</f>
        <v>LOGALLO GIOVANNI</v>
      </c>
      <c r="G6" t="str">
        <f>IFERROR(__xludf.DUMMYFUNCTION("""COMPUTED_VALUE"""),"via Fiorentini 14")</f>
        <v>via Fiorentini 14</v>
      </c>
      <c r="H6" t="str">
        <f>IFERROR(__xludf.DUMMYFUNCTION("""COMPUTED_VALUE"""),"Matera")</f>
        <v>Matera</v>
      </c>
      <c r="I6">
        <f>IFERROR(__xludf.DUMMYFUNCTION("""COMPUTED_VALUE"""),159.0)</f>
        <v>159</v>
      </c>
      <c r="J6">
        <f>IFERROR(__xludf.DUMMYFUNCTION("""COMPUTED_VALUE"""),2974.0)</f>
        <v>2974</v>
      </c>
      <c r="K6" t="str">
        <f>IFERROR(__xludf.DUMMYFUNCTION("""COMPUTED_VALUE"""),"Italy")</f>
        <v>Italy</v>
      </c>
      <c r="L6">
        <f>IFERROR(__xludf.DUMMYFUNCTION("""COMPUTED_VALUE"""),12.0)</f>
        <v>12</v>
      </c>
      <c r="M6">
        <f>IFERROR(__xludf.DUMMYFUNCTION("""COMPUTED_VALUE"""),4.0)</f>
        <v>4</v>
      </c>
      <c r="N6">
        <f>IFERROR(__xludf.DUMMYFUNCTION("""COMPUTED_VALUE"""),41486.0)</f>
        <v>41486</v>
      </c>
    </row>
    <row r="7">
      <c r="A7">
        <f>IFERROR(__xludf.DUMMYFUNCTION("""COMPUTED_VALUE"""),283.0)</f>
        <v>283</v>
      </c>
      <c r="B7">
        <f>IFERROR(__xludf.DUMMYFUNCTION("""COMPUTED_VALUE"""),40.6419824)</f>
        <v>40.6419824</v>
      </c>
      <c r="C7">
        <f>IFERROR(__xludf.DUMMYFUNCTION("""COMPUTED_VALUE"""),16.6227369)</f>
        <v>16.6227369</v>
      </c>
      <c r="D7" t="str">
        <f>IFERROR(__xludf.DUMMYFUNCTION("""COMPUTED_VALUE"""),"Bed &amp; Breakfast")</f>
        <v>Bed &amp; Breakfast</v>
      </c>
      <c r="E7" t="str">
        <f>IFERROR(__xludf.DUMMYFUNCTION("""COMPUTED_VALUE"""),"HOME SWEET HOME")</f>
        <v>HOME SWEET HOME</v>
      </c>
      <c r="F7" t="str">
        <f>IFERROR(__xludf.DUMMYFUNCTION("""COMPUTED_VALUE"""),"BRUNO VINCENZO")</f>
        <v>BRUNO VINCENZO</v>
      </c>
      <c r="G7" t="str">
        <f>IFERROR(__xludf.DUMMYFUNCTION("""COMPUTED_VALUE"""),"via dell'Ariete 1")</f>
        <v>via dell'Ariete 1</v>
      </c>
      <c r="H7" t="str">
        <f>IFERROR(__xludf.DUMMYFUNCTION("""COMPUTED_VALUE"""),"Matera")</f>
        <v>Matera</v>
      </c>
      <c r="I7">
        <f>IFERROR(__xludf.DUMMYFUNCTION("""COMPUTED_VALUE"""),114.0)</f>
        <v>114</v>
      </c>
      <c r="J7">
        <f>IFERROR(__xludf.DUMMYFUNCTION("""COMPUTED_VALUE"""),722.0)</f>
        <v>722</v>
      </c>
      <c r="K7" t="str">
        <f>IFERROR(__xludf.DUMMYFUNCTION("""COMPUTED_VALUE"""),"Italy")</f>
        <v>Italy</v>
      </c>
      <c r="L7">
        <f>IFERROR(__xludf.DUMMYFUNCTION("""COMPUTED_VALUE"""),6.0)</f>
        <v>6</v>
      </c>
      <c r="M7">
        <f>IFERROR(__xludf.DUMMYFUNCTION("""COMPUTED_VALUE"""),3.0)</f>
        <v>3</v>
      </c>
      <c r="N7">
        <f>IFERROR(__xludf.DUMMYFUNCTION("""COMPUTED_VALUE"""),41408.0)</f>
        <v>41408</v>
      </c>
    </row>
    <row r="8">
      <c r="A8">
        <f>IFERROR(__xludf.DUMMYFUNCTION("""COMPUTED_VALUE"""),284.0)</f>
        <v>284</v>
      </c>
      <c r="B8">
        <f>IFERROR(__xludf.DUMMYFUNCTION("""COMPUTED_VALUE"""),40.6572151)</f>
        <v>40.6572151</v>
      </c>
      <c r="C8">
        <f>IFERROR(__xludf.DUMMYFUNCTION("""COMPUTED_VALUE"""),16.6124274)</f>
        <v>16.6124274</v>
      </c>
      <c r="D8" t="str">
        <f>IFERROR(__xludf.DUMMYFUNCTION("""COMPUTED_VALUE"""),"Bed &amp; Breakfast")</f>
        <v>Bed &amp; Breakfast</v>
      </c>
      <c r="E8" t="str">
        <f>IFERROR(__xludf.DUMMYFUNCTION("""COMPUTED_VALUE"""),"I TRE FIORI")</f>
        <v>I TRE FIORI</v>
      </c>
      <c r="F8" t="str">
        <f>IFERROR(__xludf.DUMMYFUNCTION("""COMPUTED_VALUE"""),"PEPE ANGELA")</f>
        <v>PEPE ANGELA</v>
      </c>
      <c r="G8" t="str">
        <f>IFERROR(__xludf.DUMMYFUNCTION("""COMPUTED_VALUE"""),"via fosse ardeatine 4")</f>
        <v>via fosse ardeatine 4</v>
      </c>
      <c r="H8" t="str">
        <f>IFERROR(__xludf.DUMMYFUNCTION("""COMPUTED_VALUE"""),"Matera")</f>
        <v>Matera</v>
      </c>
      <c r="I8">
        <f>IFERROR(__xludf.DUMMYFUNCTION("""COMPUTED_VALUE"""),103.0)</f>
        <v>103</v>
      </c>
      <c r="J8">
        <f>IFERROR(__xludf.DUMMYFUNCTION("""COMPUTED_VALUE"""),818.0)</f>
        <v>818</v>
      </c>
      <c r="K8" t="str">
        <f>IFERROR(__xludf.DUMMYFUNCTION("""COMPUTED_VALUE"""),"Italy")</f>
        <v>Italy</v>
      </c>
      <c r="L8">
        <f>IFERROR(__xludf.DUMMYFUNCTION("""COMPUTED_VALUE"""),9.0)</f>
        <v>9</v>
      </c>
      <c r="M8">
        <f>IFERROR(__xludf.DUMMYFUNCTION("""COMPUTED_VALUE"""),5.0)</f>
        <v>5</v>
      </c>
      <c r="N8">
        <f>IFERROR(__xludf.DUMMYFUNCTION("""COMPUTED_VALUE"""),40612.0)</f>
        <v>40612</v>
      </c>
    </row>
    <row r="9">
      <c r="A9">
        <f>IFERROR(__xludf.DUMMYFUNCTION("""COMPUTED_VALUE"""),285.0)</f>
        <v>285</v>
      </c>
      <c r="B9">
        <f>IFERROR(__xludf.DUMMYFUNCTION("""COMPUTED_VALUE"""),40.6645267)</f>
        <v>40.6645267</v>
      </c>
      <c r="C9">
        <f>IFERROR(__xludf.DUMMYFUNCTION("""COMPUTED_VALUE"""),16.610666)</f>
        <v>16.610666</v>
      </c>
      <c r="D9" t="str">
        <f>IFERROR(__xludf.DUMMYFUNCTION("""COMPUTED_VALUE"""),"Bed &amp; Breakfast")</f>
        <v>Bed &amp; Breakfast</v>
      </c>
      <c r="E9" t="str">
        <f>IFERROR(__xludf.DUMMYFUNCTION("""COMPUTED_VALUE"""),"IL CORTILE")</f>
        <v>IL CORTILE</v>
      </c>
      <c r="F9" t="str">
        <f>IFERROR(__xludf.DUMMYFUNCTION("""COMPUTED_VALUE"""),"DONATELLA ACITO")</f>
        <v>DONATELLA ACITO</v>
      </c>
      <c r="G9" t="str">
        <f>IFERROR(__xludf.DUMMYFUNCTION("""COMPUTED_VALUE"""),"via San Pietro Caveoso 55")</f>
        <v>via San Pietro Caveoso 55</v>
      </c>
      <c r="H9" t="str">
        <f>IFERROR(__xludf.DUMMYFUNCTION("""COMPUTED_VALUE"""),"Matera")</f>
        <v>Matera</v>
      </c>
      <c r="I9">
        <f>IFERROR(__xludf.DUMMYFUNCTION("""COMPUTED_VALUE"""),159.0)</f>
        <v>159</v>
      </c>
      <c r="J9">
        <f>IFERROR(__xludf.DUMMYFUNCTION("""COMPUTED_VALUE"""),1470.0)</f>
        <v>1470</v>
      </c>
      <c r="K9" t="str">
        <f>IFERROR(__xludf.DUMMYFUNCTION("""COMPUTED_VALUE"""),"Italy")</f>
        <v>Italy</v>
      </c>
      <c r="L9">
        <f>IFERROR(__xludf.DUMMYFUNCTION("""COMPUTED_VALUE"""),4.0)</f>
        <v>4</v>
      </c>
      <c r="M9">
        <f>IFERROR(__xludf.DUMMYFUNCTION("""COMPUTED_VALUE"""),8.0)</f>
        <v>8</v>
      </c>
      <c r="N9">
        <f>IFERROR(__xludf.DUMMYFUNCTION("""COMPUTED_VALUE"""),39913.0)</f>
        <v>39913</v>
      </c>
    </row>
    <row r="10">
      <c r="A10">
        <f>IFERROR(__xludf.DUMMYFUNCTION("""COMPUTED_VALUE"""),286.0)</f>
        <v>286</v>
      </c>
      <c r="B10">
        <f>IFERROR(__xludf.DUMMYFUNCTION("""COMPUTED_VALUE"""),40.668078)</f>
        <v>40.668078</v>
      </c>
      <c r="C10">
        <f>IFERROR(__xludf.DUMMYFUNCTION("""COMPUTED_VALUE"""),16.6052844)</f>
        <v>16.6052844</v>
      </c>
      <c r="D10" t="str">
        <f>IFERROR(__xludf.DUMMYFUNCTION("""COMPUTED_VALUE"""),"Bed &amp; Breakfast")</f>
        <v>Bed &amp; Breakfast</v>
      </c>
      <c r="E10" t="str">
        <f>IFERROR(__xludf.DUMMYFUNCTION("""COMPUTED_VALUE"""),"LUCANA 22")</f>
        <v>LUCANA 22</v>
      </c>
      <c r="F10" t="str">
        <f>IFERROR(__xludf.DUMMYFUNCTION("""COMPUTED_VALUE"""),"ANGELO CATOGGIO")</f>
        <v>ANGELO CATOGGIO</v>
      </c>
      <c r="G10" t="str">
        <f>IFERROR(__xludf.DUMMYFUNCTION("""COMPUTED_VALUE"""),"VIA LUCANA 22")</f>
        <v>VIA LUCANA 22</v>
      </c>
      <c r="H10" t="str">
        <f>IFERROR(__xludf.DUMMYFUNCTION("""COMPUTED_VALUE"""),"Matera")</f>
        <v>Matera</v>
      </c>
      <c r="I10">
        <f>IFERROR(__xludf.DUMMYFUNCTION("""COMPUTED_VALUE"""),159.0)</f>
        <v>159</v>
      </c>
      <c r="J10">
        <f>IFERROR(__xludf.DUMMYFUNCTION("""COMPUTED_VALUE"""),3765.0)</f>
        <v>3765</v>
      </c>
      <c r="K10" t="str">
        <f>IFERROR(__xludf.DUMMYFUNCTION("""COMPUTED_VALUE"""),"Italy")</f>
        <v>Italy</v>
      </c>
      <c r="L10">
        <f>IFERROR(__xludf.DUMMYFUNCTION("""COMPUTED_VALUE"""),12.0)</f>
        <v>12</v>
      </c>
      <c r="M10">
        <f>IFERROR(__xludf.DUMMYFUNCTION("""COMPUTED_VALUE"""),6.0)</f>
        <v>6</v>
      </c>
      <c r="N10">
        <f>IFERROR(__xludf.DUMMYFUNCTION("""COMPUTED_VALUE"""),42340.0)</f>
        <v>42340</v>
      </c>
    </row>
    <row r="11">
      <c r="A11">
        <f>IFERROR(__xludf.DUMMYFUNCTION("""COMPUTED_VALUE"""),287.0)</f>
        <v>287</v>
      </c>
      <c r="B11">
        <f>IFERROR(__xludf.DUMMYFUNCTION("""COMPUTED_VALUE"""),40.6763994)</f>
        <v>40.6763994</v>
      </c>
      <c r="C11">
        <f>IFERROR(__xludf.DUMMYFUNCTION("""COMPUTED_VALUE"""),16.5732106)</f>
        <v>16.5732106</v>
      </c>
      <c r="D11" t="str">
        <f>IFERROR(__xludf.DUMMYFUNCTION("""COMPUTED_VALUE"""),"Bed &amp; Breakfast")</f>
        <v>Bed &amp; Breakfast</v>
      </c>
      <c r="E11" t="str">
        <f>IFERROR(__xludf.DUMMYFUNCTION("""COMPUTED_VALUE"""),"MATERA")</f>
        <v>MATERA</v>
      </c>
      <c r="F11" t="str">
        <f>IFERROR(__xludf.DUMMYFUNCTION("""COMPUTED_VALUE"""),"EMANUELE MONTEMURRO")</f>
        <v>EMANUELE MONTEMURRO</v>
      </c>
      <c r="G11" t="str">
        <f>IFERROR(__xludf.DUMMYFUNCTION("""COMPUTED_VALUE"""),"via del Commercio")</f>
        <v>via del Commercio</v>
      </c>
      <c r="H11" t="str">
        <f>IFERROR(__xludf.DUMMYFUNCTION("""COMPUTED_VALUE"""),"Matera")</f>
        <v>Matera</v>
      </c>
      <c r="I11">
        <f>IFERROR(__xludf.DUMMYFUNCTION("""COMPUTED_VALUE"""),67.0)</f>
        <v>67</v>
      </c>
      <c r="J11">
        <f>IFERROR(__xludf.DUMMYFUNCTION("""COMPUTED_VALUE"""),2052.0)</f>
        <v>2052</v>
      </c>
      <c r="K11" t="str">
        <f>IFERROR(__xludf.DUMMYFUNCTION("""COMPUTED_VALUE"""),"Italy")</f>
        <v>Italy</v>
      </c>
      <c r="L11">
        <f>IFERROR(__xludf.DUMMYFUNCTION("""COMPUTED_VALUE"""),9.0)</f>
        <v>9</v>
      </c>
      <c r="M11">
        <f>IFERROR(__xludf.DUMMYFUNCTION("""COMPUTED_VALUE"""),4.0)</f>
        <v>4</v>
      </c>
      <c r="N11">
        <f>IFERROR(__xludf.DUMMYFUNCTION("""COMPUTED_VALUE"""),41421.0)</f>
        <v>41421</v>
      </c>
    </row>
    <row r="12">
      <c r="A12">
        <f>IFERROR(__xludf.DUMMYFUNCTION("""COMPUTED_VALUE"""),288.0)</f>
        <v>288</v>
      </c>
      <c r="B12">
        <f>IFERROR(__xludf.DUMMYFUNCTION("""COMPUTED_VALUE"""),40.6669025)</f>
        <v>40.6669025</v>
      </c>
      <c r="C12">
        <f>IFERROR(__xludf.DUMMYFUNCTION("""COMPUTED_VALUE"""),16.6045068)</f>
        <v>16.6045068</v>
      </c>
      <c r="D12" t="str">
        <f>IFERROR(__xludf.DUMMYFUNCTION("""COMPUTED_VALUE"""),"Bed &amp; Breakfast")</f>
        <v>Bed &amp; Breakfast</v>
      </c>
      <c r="E12" t="str">
        <f>IFERROR(__xludf.DUMMYFUNCTION("""COMPUTED_VALUE"""),"SANTA MARTA")</f>
        <v>SANTA MARTA</v>
      </c>
      <c r="F12" t="str">
        <f>IFERROR(__xludf.DUMMYFUNCTION("""COMPUTED_VALUE"""),"CARBONE MARIA")</f>
        <v>CARBONE MARIA</v>
      </c>
      <c r="G12" t="str">
        <f>IFERROR(__xludf.DUMMYFUNCTION("""COMPUTED_VALUE"""),"via  Lucana 53")</f>
        <v>via  Lucana 53</v>
      </c>
      <c r="H12" t="str">
        <f>IFERROR(__xludf.DUMMYFUNCTION("""COMPUTED_VALUE"""),"Matera")</f>
        <v>Matera</v>
      </c>
      <c r="I12">
        <f>IFERROR(__xludf.DUMMYFUNCTION("""COMPUTED_VALUE"""),159.0)</f>
        <v>159</v>
      </c>
      <c r="J12">
        <f>IFERROR(__xludf.DUMMYFUNCTION("""COMPUTED_VALUE"""),2710.0)</f>
        <v>2710</v>
      </c>
      <c r="K12" t="str">
        <f>IFERROR(__xludf.DUMMYFUNCTION("""COMPUTED_VALUE"""),"Italy")</f>
        <v>Italy</v>
      </c>
      <c r="L12">
        <f>IFERROR(__xludf.DUMMYFUNCTION("""COMPUTED_VALUE"""),17.0)</f>
        <v>17</v>
      </c>
      <c r="M12">
        <f>IFERROR(__xludf.DUMMYFUNCTION("""COMPUTED_VALUE"""),4.0)</f>
        <v>4</v>
      </c>
      <c r="N12">
        <f>IFERROR(__xludf.DUMMYFUNCTION("""COMPUTED_VALUE"""),40379.0)</f>
        <v>40379</v>
      </c>
    </row>
    <row r="13">
      <c r="A13">
        <f>IFERROR(__xludf.DUMMYFUNCTION("""COMPUTED_VALUE"""),289.0)</f>
        <v>289</v>
      </c>
      <c r="B13">
        <f>IFERROR(__xludf.DUMMYFUNCTION("""COMPUTED_VALUE"""),40.6669499)</f>
        <v>40.6669499</v>
      </c>
      <c r="C13">
        <f>IFERROR(__xludf.DUMMYFUNCTION("""COMPUTED_VALUE"""),16.6101862)</f>
        <v>16.6101862</v>
      </c>
      <c r="D13" t="str">
        <f>IFERROR(__xludf.DUMMYFUNCTION("""COMPUTED_VALUE"""),"Bed &amp; Breakfast")</f>
        <v>Bed &amp; Breakfast</v>
      </c>
      <c r="E13" t="str">
        <f>IFERROR(__xludf.DUMMYFUNCTION("""COMPUTED_VALUE"""),"TRE CORONE")</f>
        <v>TRE CORONE</v>
      </c>
      <c r="F13" t="str">
        <f>IFERROR(__xludf.DUMMYFUNCTION("""COMPUTED_VALUE"""),"MARIA TORELLI")</f>
        <v>MARIA TORELLI</v>
      </c>
      <c r="G13" t="str">
        <f>IFERROR(__xludf.DUMMYFUNCTION("""COMPUTED_VALUE"""),"Via Sette Dolori 2")</f>
        <v>Via Sette Dolori 2</v>
      </c>
      <c r="H13" t="str">
        <f>IFERROR(__xludf.DUMMYFUNCTION("""COMPUTED_VALUE"""),"Matera")</f>
        <v>Matera</v>
      </c>
      <c r="I13">
        <f>IFERROR(__xludf.DUMMYFUNCTION("""COMPUTED_VALUE"""),159.0)</f>
        <v>159</v>
      </c>
      <c r="J13">
        <f>IFERROR(__xludf.DUMMYFUNCTION("""COMPUTED_VALUE"""),737.0)</f>
        <v>737</v>
      </c>
      <c r="K13" t="str">
        <f>IFERROR(__xludf.DUMMYFUNCTION("""COMPUTED_VALUE"""),"Italy")</f>
        <v>Italy</v>
      </c>
      <c r="L13" t="str">
        <f>IFERROR(__xludf.DUMMYFUNCTION("""COMPUTED_VALUE"""),"")</f>
        <v/>
      </c>
      <c r="M13">
        <f>IFERROR(__xludf.DUMMYFUNCTION("""COMPUTED_VALUE"""),2.0)</f>
        <v>2</v>
      </c>
      <c r="N13">
        <f>IFERROR(__xludf.DUMMYFUNCTION("""COMPUTED_VALUE"""),41351.0)</f>
        <v>41351</v>
      </c>
    </row>
    <row r="14">
      <c r="A14">
        <f>IFERROR(__xludf.DUMMYFUNCTION("""COMPUTED_VALUE"""),290.0)</f>
        <v>290</v>
      </c>
      <c r="B14">
        <f>IFERROR(__xludf.DUMMYFUNCTION("""COMPUTED_VALUE"""),40.6440597)</f>
        <v>40.6440597</v>
      </c>
      <c r="C14">
        <f>IFERROR(__xludf.DUMMYFUNCTION("""COMPUTED_VALUE"""),16.6223163)</f>
        <v>16.6223163</v>
      </c>
      <c r="D14" t="str">
        <f>IFERROR(__xludf.DUMMYFUNCTION("""COMPUTED_VALUE"""),"Bed &amp; Breakfast")</f>
        <v>Bed &amp; Breakfast</v>
      </c>
      <c r="E14" t="str">
        <f>IFERROR(__xludf.DUMMYFUNCTION("""COMPUTED_VALUE"""),"VILLA ROSSANA")</f>
        <v>VILLA ROSSANA</v>
      </c>
      <c r="F14" t="str">
        <f>IFERROR(__xludf.DUMMYFUNCTION("""COMPUTED_VALUE"""),"DI PEDE MASSIMILIANO")</f>
        <v>DI PEDE MASSIMILIANO</v>
      </c>
      <c r="G14" t="str">
        <f>IFERROR(__xludf.DUMMYFUNCTION("""COMPUTED_VALUE"""),"via columella 10")</f>
        <v>via columella 10</v>
      </c>
      <c r="H14" t="str">
        <f>IFERROR(__xludf.DUMMYFUNCTION("""COMPUTED_VALUE"""),"Matera")</f>
        <v>Matera</v>
      </c>
      <c r="I14">
        <f>IFERROR(__xludf.DUMMYFUNCTION("""COMPUTED_VALUE"""),106.0)</f>
        <v>106</v>
      </c>
      <c r="J14">
        <f>IFERROR(__xludf.DUMMYFUNCTION("""COMPUTED_VALUE"""),288.0)</f>
        <v>288</v>
      </c>
      <c r="K14" t="str">
        <f>IFERROR(__xludf.DUMMYFUNCTION("""COMPUTED_VALUE"""),"Italy")</f>
        <v>Italy</v>
      </c>
      <c r="L14">
        <f>IFERROR(__xludf.DUMMYFUNCTION("""COMPUTED_VALUE"""),2.0)</f>
        <v>2</v>
      </c>
      <c r="M14">
        <f>IFERROR(__xludf.DUMMYFUNCTION("""COMPUTED_VALUE"""),6.0)</f>
        <v>6</v>
      </c>
      <c r="N14">
        <f>IFERROR(__xludf.DUMMYFUNCTION("""COMPUTED_VALUE"""),40392.0)</f>
        <v>40392</v>
      </c>
    </row>
    <row r="15">
      <c r="A15">
        <f>IFERROR(__xludf.DUMMYFUNCTION("""COMPUTED_VALUE"""),291.0)</f>
        <v>291</v>
      </c>
      <c r="B15">
        <f>IFERROR(__xludf.DUMMYFUNCTION("""COMPUTED_VALUE"""),40.7096401)</f>
        <v>40.7096401</v>
      </c>
      <c r="C15">
        <f>IFERROR(__xludf.DUMMYFUNCTION("""COMPUTED_VALUE"""),16.4864765)</f>
        <v>16.4864765</v>
      </c>
      <c r="D15" t="str">
        <f>IFERROR(__xludf.DUMMYFUNCTION("""COMPUTED_VALUE"""),"Bed &amp; Breakfast")</f>
        <v>Bed &amp; Breakfast</v>
      </c>
      <c r="E15" t="str">
        <f>IFERROR(__xludf.DUMMYFUNCTION("""COMPUTED_VALUE"""),"AL BORGHETTO")</f>
        <v>AL BORGHETTO</v>
      </c>
      <c r="F15" t="str">
        <f>IFERROR(__xludf.DUMMYFUNCTION("""COMPUTED_VALUE"""),"LAMACCHIA FRANCESCO")</f>
        <v>LAMACCHIA FRANCESCO</v>
      </c>
      <c r="G15" t="str">
        <f>IFERROR(__xludf.DUMMYFUNCTION("""COMPUTED_VALUE"""),"BORGO  PICCIANO A")</f>
        <v>BORGO  PICCIANO A</v>
      </c>
      <c r="H15" t="str">
        <f>IFERROR(__xludf.DUMMYFUNCTION("""COMPUTED_VALUE"""),"Matera")</f>
        <v>Matera</v>
      </c>
      <c r="I15">
        <f>IFERROR(__xludf.DUMMYFUNCTION("""COMPUTED_VALUE"""),23.0)</f>
        <v>23</v>
      </c>
      <c r="J15">
        <f>IFERROR(__xludf.DUMMYFUNCTION("""COMPUTED_VALUE"""),59.0)</f>
        <v>59</v>
      </c>
      <c r="K15" t="str">
        <f>IFERROR(__xludf.DUMMYFUNCTION("""COMPUTED_VALUE"""),"Italy")</f>
        <v>Italy</v>
      </c>
      <c r="L15" t="str">
        <f>IFERROR(__xludf.DUMMYFUNCTION("""COMPUTED_VALUE"""),"")</f>
        <v/>
      </c>
      <c r="M15">
        <f>IFERROR(__xludf.DUMMYFUNCTION("""COMPUTED_VALUE"""),2.0)</f>
        <v>2</v>
      </c>
      <c r="N15">
        <f>IFERROR(__xludf.DUMMYFUNCTION("""COMPUTED_VALUE"""),42430.0)</f>
        <v>42430</v>
      </c>
    </row>
    <row r="16">
      <c r="A16">
        <f>IFERROR(__xludf.DUMMYFUNCTION("""COMPUTED_VALUE"""),292.0)</f>
        <v>292</v>
      </c>
      <c r="B16">
        <f>IFERROR(__xludf.DUMMYFUNCTION("""COMPUTED_VALUE"""),40.6665076)</f>
        <v>40.6665076</v>
      </c>
      <c r="C16">
        <f>IFERROR(__xludf.DUMMYFUNCTION("""COMPUTED_VALUE"""),16.6113147)</f>
        <v>16.6113147</v>
      </c>
      <c r="D16" t="str">
        <f>IFERROR(__xludf.DUMMYFUNCTION("""COMPUTED_VALUE"""),"Bed &amp; Breakfast")</f>
        <v>Bed &amp; Breakfast</v>
      </c>
      <c r="E16" t="str">
        <f>IFERROR(__xludf.DUMMYFUNCTION("""COMPUTED_VALUE"""),"AL CAMPANILE")</f>
        <v>AL CAMPANILE</v>
      </c>
      <c r="F16" t="str">
        <f>IFERROR(__xludf.DUMMYFUNCTION("""COMPUTED_VALUE"""),"SINNO PATRIZIA")</f>
        <v>SINNO PATRIZIA</v>
      </c>
      <c r="G16" t="str">
        <f>IFERROR(__xludf.DUMMYFUNCTION("""COMPUTED_VALUE"""),"VIA RISCATTO 7")</f>
        <v>VIA RISCATTO 7</v>
      </c>
      <c r="H16" t="str">
        <f>IFERROR(__xludf.DUMMYFUNCTION("""COMPUTED_VALUE"""),"Matera")</f>
        <v>Matera</v>
      </c>
      <c r="I16">
        <f>IFERROR(__xludf.DUMMYFUNCTION("""COMPUTED_VALUE"""),159.0)</f>
        <v>159</v>
      </c>
      <c r="J16">
        <f>IFERROR(__xludf.DUMMYFUNCTION("""COMPUTED_VALUE"""),1137.0)</f>
        <v>1137</v>
      </c>
      <c r="K16" t="str">
        <f>IFERROR(__xludf.DUMMYFUNCTION("""COMPUTED_VALUE"""),"Italy")</f>
        <v>Italy</v>
      </c>
      <c r="L16">
        <f>IFERROR(__xludf.DUMMYFUNCTION("""COMPUTED_VALUE"""),22.0)</f>
        <v>22</v>
      </c>
      <c r="M16">
        <f>IFERROR(__xludf.DUMMYFUNCTION("""COMPUTED_VALUE"""),4.0)</f>
        <v>4</v>
      </c>
      <c r="N16">
        <f>IFERROR(__xludf.DUMMYFUNCTION("""COMPUTED_VALUE"""),42534.0)</f>
        <v>42534</v>
      </c>
    </row>
    <row r="17">
      <c r="A17">
        <f>IFERROR(__xludf.DUMMYFUNCTION("""COMPUTED_VALUE"""),293.0)</f>
        <v>293</v>
      </c>
      <c r="B17">
        <f>IFERROR(__xludf.DUMMYFUNCTION("""COMPUTED_VALUE"""),40.6635375)</f>
        <v>40.6635375</v>
      </c>
      <c r="C17">
        <f>IFERROR(__xludf.DUMMYFUNCTION("""COMPUTED_VALUE"""),16.6075749)</f>
        <v>16.6075749</v>
      </c>
      <c r="D17" t="str">
        <f>IFERROR(__xludf.DUMMYFUNCTION("""COMPUTED_VALUE"""),"Bed &amp; Breakfast")</f>
        <v>Bed &amp; Breakfast</v>
      </c>
      <c r="E17" t="str">
        <f>IFERROR(__xludf.DUMMYFUNCTION("""COMPUTED_VALUE"""),"AL CASTELLO")</f>
        <v>AL CASTELLO</v>
      </c>
      <c r="F17" t="str">
        <f>IFERROR(__xludf.DUMMYFUNCTION("""COMPUTED_VALUE"""),"MELODIA FRANCESCA")</f>
        <v>MELODIA FRANCESCA</v>
      </c>
      <c r="G17" t="str">
        <f>IFERROR(__xludf.DUMMYFUNCTION("""COMPUTED_VALUE"""),"VIA LANERA 5")</f>
        <v>VIA LANERA 5</v>
      </c>
      <c r="H17" t="str">
        <f>IFERROR(__xludf.DUMMYFUNCTION("""COMPUTED_VALUE"""),"Matera")</f>
        <v>Matera</v>
      </c>
      <c r="I17">
        <f>IFERROR(__xludf.DUMMYFUNCTION("""COMPUTED_VALUE"""),103.0)</f>
        <v>103</v>
      </c>
      <c r="J17">
        <f>IFERROR(__xludf.DUMMYFUNCTION("""COMPUTED_VALUE"""),252.0)</f>
        <v>252</v>
      </c>
      <c r="K17" t="str">
        <f>IFERROR(__xludf.DUMMYFUNCTION("""COMPUTED_VALUE"""),"Italy")</f>
        <v>Italy</v>
      </c>
      <c r="L17">
        <f>IFERROR(__xludf.DUMMYFUNCTION("""COMPUTED_VALUE"""),4.0)</f>
        <v>4</v>
      </c>
      <c r="M17">
        <f>IFERROR(__xludf.DUMMYFUNCTION("""COMPUTED_VALUE"""),7.0)</f>
        <v>7</v>
      </c>
      <c r="N17">
        <f>IFERROR(__xludf.DUMMYFUNCTION("""COMPUTED_VALUE"""),42299.0)</f>
        <v>42299</v>
      </c>
    </row>
    <row r="18">
      <c r="A18">
        <f>IFERROR(__xludf.DUMMYFUNCTION("""COMPUTED_VALUE"""),294.0)</f>
        <v>294</v>
      </c>
      <c r="B18">
        <f>IFERROR(__xludf.DUMMYFUNCTION("""COMPUTED_VALUE"""),40.6642679)</f>
        <v>40.6642679</v>
      </c>
      <c r="C18">
        <f>IFERROR(__xludf.DUMMYFUNCTION("""COMPUTED_VALUE"""),16.6036248)</f>
        <v>16.6036248</v>
      </c>
      <c r="D18" t="str">
        <f>IFERROR(__xludf.DUMMYFUNCTION("""COMPUTED_VALUE"""),"Bed &amp; Breakfast")</f>
        <v>Bed &amp; Breakfast</v>
      </c>
      <c r="E18" t="str">
        <f>IFERROR(__xludf.DUMMYFUNCTION("""COMPUTED_VALUE"""),"AL CENTRO B&amp;B")</f>
        <v>AL CENTRO B&amp;B</v>
      </c>
      <c r="F18" t="str">
        <f>IFERROR(__xludf.DUMMYFUNCTION("""COMPUTED_VALUE"""),"BUONO FRANCESCO PAOLO")</f>
        <v>BUONO FRANCESCO PAOLO</v>
      </c>
      <c r="G18" t="str">
        <f>IFERROR(__xludf.DUMMYFUNCTION("""COMPUTED_VALUE"""),"VIA GRAMSCI 27")</f>
        <v>VIA GRAMSCI 27</v>
      </c>
      <c r="H18" t="str">
        <f>IFERROR(__xludf.DUMMYFUNCTION("""COMPUTED_VALUE"""),"Matera")</f>
        <v>Matera</v>
      </c>
      <c r="I18">
        <f>IFERROR(__xludf.DUMMYFUNCTION("""COMPUTED_VALUE"""),101.0)</f>
        <v>101</v>
      </c>
      <c r="J18">
        <f>IFERROR(__xludf.DUMMYFUNCTION("""COMPUTED_VALUE"""),218.0)</f>
        <v>218</v>
      </c>
      <c r="K18" t="str">
        <f>IFERROR(__xludf.DUMMYFUNCTION("""COMPUTED_VALUE"""),"Italy")</f>
        <v>Italy</v>
      </c>
      <c r="L18">
        <f>IFERROR(__xludf.DUMMYFUNCTION("""COMPUTED_VALUE"""),12.0)</f>
        <v>12</v>
      </c>
      <c r="M18">
        <f>IFERROR(__xludf.DUMMYFUNCTION("""COMPUTED_VALUE"""),6.0)</f>
        <v>6</v>
      </c>
      <c r="N18">
        <f>IFERROR(__xludf.DUMMYFUNCTION("""COMPUTED_VALUE"""),42357.0)</f>
        <v>42357</v>
      </c>
    </row>
    <row r="19">
      <c r="A19">
        <f>IFERROR(__xludf.DUMMYFUNCTION("""COMPUTED_VALUE"""),295.0)</f>
        <v>295</v>
      </c>
      <c r="B19">
        <f>IFERROR(__xludf.DUMMYFUNCTION("""COMPUTED_VALUE"""),40.663392)</f>
        <v>40.663392</v>
      </c>
      <c r="C19">
        <f>IFERROR(__xludf.DUMMYFUNCTION("""COMPUTED_VALUE"""),16.6113458)</f>
        <v>16.6113458</v>
      </c>
      <c r="D19" t="str">
        <f>IFERROR(__xludf.DUMMYFUNCTION("""COMPUTED_VALUE"""),"Bed &amp; Breakfast")</f>
        <v>Bed &amp; Breakfast</v>
      </c>
      <c r="E19" t="str">
        <f>IFERROR(__xludf.DUMMYFUNCTION("""COMPUTED_VALUE"""),"AL CONVENTO")</f>
        <v>AL CONVENTO</v>
      </c>
      <c r="F19" t="str">
        <f>IFERROR(__xludf.DUMMYFUNCTION("""COMPUTED_VALUE"""),"MONTEMURRO VINCENZO E.")</f>
        <v>MONTEMURRO VINCENZO E.</v>
      </c>
      <c r="G19" t="str">
        <f>IFERROR(__xludf.DUMMYFUNCTION("""COMPUTED_VALUE"""),"via Purgatorio Vecchio 3")</f>
        <v>via Purgatorio Vecchio 3</v>
      </c>
      <c r="H19" t="str">
        <f>IFERROR(__xludf.DUMMYFUNCTION("""COMPUTED_VALUE"""),"Matera")</f>
        <v>Matera</v>
      </c>
      <c r="I19">
        <f>IFERROR(__xludf.DUMMYFUNCTION("""COMPUTED_VALUE"""),159.0)</f>
        <v>159</v>
      </c>
      <c r="J19">
        <f>IFERROR(__xludf.DUMMYFUNCTION("""COMPUTED_VALUE"""),2101.0)</f>
        <v>2101</v>
      </c>
      <c r="K19" t="str">
        <f>IFERROR(__xludf.DUMMYFUNCTION("""COMPUTED_VALUE"""),"Italy")</f>
        <v>Italy</v>
      </c>
      <c r="L19">
        <f>IFERROR(__xludf.DUMMYFUNCTION("""COMPUTED_VALUE"""),3.0)</f>
        <v>3</v>
      </c>
      <c r="M19">
        <f>IFERROR(__xludf.DUMMYFUNCTION("""COMPUTED_VALUE"""),4.0)</f>
        <v>4</v>
      </c>
      <c r="N19">
        <f>IFERROR(__xludf.DUMMYFUNCTION("""COMPUTED_VALUE"""),39744.0)</f>
        <v>39744</v>
      </c>
    </row>
    <row r="20">
      <c r="A20">
        <f>IFERROR(__xludf.DUMMYFUNCTION("""COMPUTED_VALUE"""),296.0)</f>
        <v>296</v>
      </c>
      <c r="B20">
        <f>IFERROR(__xludf.DUMMYFUNCTION("""COMPUTED_VALUE"""),40.661369)</f>
        <v>40.661369</v>
      </c>
      <c r="C20">
        <f>IFERROR(__xludf.DUMMYFUNCTION("""COMPUTED_VALUE"""),16.6108069)</f>
        <v>16.6108069</v>
      </c>
      <c r="D20" t="str">
        <f>IFERROR(__xludf.DUMMYFUNCTION("""COMPUTED_VALUE"""),"Bed &amp; Breakfast")</f>
        <v>Bed &amp; Breakfast</v>
      </c>
      <c r="E20" t="str">
        <f>IFERROR(__xludf.DUMMYFUNCTION("""COMPUTED_VALUE"""),"AL VECCHIO MULINO")</f>
        <v>AL VECCHIO MULINO</v>
      </c>
      <c r="F20" t="str">
        <f>IFERROR(__xludf.DUMMYFUNCTION("""COMPUTED_VALUE"""),"MUSOLINO FABIO")</f>
        <v>MUSOLINO FABIO</v>
      </c>
      <c r="G20" t="str">
        <f>IFERROR(__xludf.DUMMYFUNCTION("""COMPUTED_VALUE"""),"via lucana 205/B")</f>
        <v>via lucana 205/B</v>
      </c>
      <c r="H20" t="str">
        <f>IFERROR(__xludf.DUMMYFUNCTION("""COMPUTED_VALUE"""),"Matera")</f>
        <v>Matera</v>
      </c>
      <c r="I20">
        <f>IFERROR(__xludf.DUMMYFUNCTION("""COMPUTED_VALUE"""),159.0)</f>
        <v>159</v>
      </c>
      <c r="J20">
        <f>IFERROR(__xludf.DUMMYFUNCTION("""COMPUTED_VALUE"""),5331.0)</f>
        <v>5331</v>
      </c>
      <c r="K20" t="str">
        <f>IFERROR(__xludf.DUMMYFUNCTION("""COMPUTED_VALUE"""),"Italy")</f>
        <v>Italy</v>
      </c>
      <c r="L20">
        <f>IFERROR(__xludf.DUMMYFUNCTION("""COMPUTED_VALUE"""),48.0)</f>
        <v>48</v>
      </c>
      <c r="M20">
        <f>IFERROR(__xludf.DUMMYFUNCTION("""COMPUTED_VALUE"""),8.0)</f>
        <v>8</v>
      </c>
      <c r="N20">
        <f>IFERROR(__xludf.DUMMYFUNCTION("""COMPUTED_VALUE"""),42857.0)</f>
        <v>42857</v>
      </c>
    </row>
    <row r="21">
      <c r="A21">
        <f>IFERROR(__xludf.DUMMYFUNCTION("""COMPUTED_VALUE"""),297.0)</f>
        <v>297</v>
      </c>
      <c r="B21">
        <f>IFERROR(__xludf.DUMMYFUNCTION("""COMPUTED_VALUE"""),40.6572151)</f>
        <v>40.6572151</v>
      </c>
      <c r="C21">
        <f>IFERROR(__xludf.DUMMYFUNCTION("""COMPUTED_VALUE"""),16.6124274)</f>
        <v>16.6124274</v>
      </c>
      <c r="D21" t="str">
        <f>IFERROR(__xludf.DUMMYFUNCTION("""COMPUTED_VALUE"""),"Bed &amp; Breakfast")</f>
        <v>Bed &amp; Breakfast</v>
      </c>
      <c r="E21" t="str">
        <f>IFERROR(__xludf.DUMMYFUNCTION("""COMPUTED_VALUE"""),"ALESSANDRO B&amp;B")</f>
        <v>ALESSANDRO B&amp;B</v>
      </c>
      <c r="F21" t="str">
        <f>IFERROR(__xludf.DUMMYFUNCTION("""COMPUTED_VALUE"""),"ALESSANDRO MONTEMURRO")</f>
        <v>ALESSANDRO MONTEMURRO</v>
      </c>
      <c r="G21" t="str">
        <f>IFERROR(__xludf.DUMMYFUNCTION("""COMPUTED_VALUE"""),"VIA FOSSE ARDEATINE 7")</f>
        <v>VIA FOSSE ARDEATINE 7</v>
      </c>
      <c r="H21" t="str">
        <f>IFERROR(__xludf.DUMMYFUNCTION("""COMPUTED_VALUE"""),"Matera")</f>
        <v>Matera</v>
      </c>
      <c r="I21">
        <f>IFERROR(__xludf.DUMMYFUNCTION("""COMPUTED_VALUE"""),103.0)</f>
        <v>103</v>
      </c>
      <c r="J21">
        <f>IFERROR(__xludf.DUMMYFUNCTION("""COMPUTED_VALUE"""),1046.0)</f>
        <v>1046</v>
      </c>
      <c r="K21" t="str">
        <f>IFERROR(__xludf.DUMMYFUNCTION("""COMPUTED_VALUE"""),"Italy")</f>
        <v>Italy</v>
      </c>
      <c r="L21">
        <f>IFERROR(__xludf.DUMMYFUNCTION("""COMPUTED_VALUE"""),18.0)</f>
        <v>18</v>
      </c>
      <c r="M21">
        <f>IFERROR(__xludf.DUMMYFUNCTION("""COMPUTED_VALUE"""),3.0)</f>
        <v>3</v>
      </c>
      <c r="N21">
        <f>IFERROR(__xludf.DUMMYFUNCTION("""COMPUTED_VALUE"""),42466.0)</f>
        <v>42466</v>
      </c>
    </row>
    <row r="22">
      <c r="A22">
        <f>IFERROR(__xludf.DUMMYFUNCTION("""COMPUTED_VALUE"""),298.0)</f>
        <v>298</v>
      </c>
      <c r="B22">
        <f>IFERROR(__xludf.DUMMYFUNCTION("""COMPUTED_VALUE"""),40.6662804)</f>
        <v>40.6662804</v>
      </c>
      <c r="C22">
        <f>IFERROR(__xludf.DUMMYFUNCTION("""COMPUTED_VALUE"""),16.6062283)</f>
        <v>16.6062283</v>
      </c>
      <c r="D22" t="str">
        <f>IFERROR(__xludf.DUMMYFUNCTION("""COMPUTED_VALUE"""),"Bed &amp; Breakfast")</f>
        <v>Bed &amp; Breakfast</v>
      </c>
      <c r="E22" t="str">
        <f>IFERROR(__xludf.DUMMYFUNCTION("""COMPUTED_VALUE"""),"AMADEUS LUXURY HOME")</f>
        <v>AMADEUS LUXURY HOME</v>
      </c>
      <c r="F22" t="str">
        <f>IFERROR(__xludf.DUMMYFUNCTION("""COMPUTED_VALUE"""),"CONTEROSITO FEDERICA")</f>
        <v>CONTEROSITO FEDERICA</v>
      </c>
      <c r="G22" t="str">
        <f>IFERROR(__xludf.DUMMYFUNCTION("""COMPUTED_VALUE"""),"VIA A. PERSIO 2")</f>
        <v>VIA A. PERSIO 2</v>
      </c>
      <c r="H22" t="str">
        <f>IFERROR(__xludf.DUMMYFUNCTION("""COMPUTED_VALUE"""),"Matera")</f>
        <v>Matera</v>
      </c>
      <c r="I22">
        <f>IFERROR(__xludf.DUMMYFUNCTION("""COMPUTED_VALUE"""),159.0)</f>
        <v>159</v>
      </c>
      <c r="J22">
        <f>IFERROR(__xludf.DUMMYFUNCTION("""COMPUTED_VALUE"""),2707.0)</f>
        <v>2707</v>
      </c>
      <c r="K22" t="str">
        <f>IFERROR(__xludf.DUMMYFUNCTION("""COMPUTED_VALUE"""),"Italy")</f>
        <v>Italy</v>
      </c>
      <c r="L22">
        <f>IFERROR(__xludf.DUMMYFUNCTION("""COMPUTED_VALUE"""),18.0)</f>
        <v>18</v>
      </c>
      <c r="M22">
        <f>IFERROR(__xludf.DUMMYFUNCTION("""COMPUTED_VALUE"""),3.0)</f>
        <v>3</v>
      </c>
      <c r="N22">
        <f>IFERROR(__xludf.DUMMYFUNCTION("""COMPUTED_VALUE"""),42607.0)</f>
        <v>42607</v>
      </c>
    </row>
    <row r="23">
      <c r="A23">
        <f>IFERROR(__xludf.DUMMYFUNCTION("""COMPUTED_VALUE"""),299.0)</f>
        <v>299</v>
      </c>
      <c r="B23">
        <f>IFERROR(__xludf.DUMMYFUNCTION("""COMPUTED_VALUE"""),40.6901477)</f>
        <v>40.6901477</v>
      </c>
      <c r="C23">
        <f>IFERROR(__xludf.DUMMYFUNCTION("""COMPUTED_VALUE"""),16.5814859)</f>
        <v>16.5814859</v>
      </c>
      <c r="D23" t="str">
        <f>IFERROR(__xludf.DUMMYFUNCTION("""COMPUTED_VALUE"""),"Bed &amp; Breakfast")</f>
        <v>Bed &amp; Breakfast</v>
      </c>
      <c r="E23" t="str">
        <f>IFERROR(__xludf.DUMMYFUNCTION("""COMPUTED_VALUE"""),"AMARANTO B&amp;B")</f>
        <v>AMARANTO B&amp;B</v>
      </c>
      <c r="F23" t="str">
        <f>IFERROR(__xludf.DUMMYFUNCTION("""COMPUTED_VALUE"""),"ANTONIO MARAGNO")</f>
        <v>ANTONIO MARAGNO</v>
      </c>
      <c r="G23" t="str">
        <f>IFERROR(__xludf.DUMMYFUNCTION("""COMPUTED_VALUE"""),"VIA CADUTI NASSIRIA 139")</f>
        <v>VIA CADUTI NASSIRIA 139</v>
      </c>
      <c r="H23" t="str">
        <f>IFERROR(__xludf.DUMMYFUNCTION("""COMPUTED_VALUE"""),"Matera")</f>
        <v>Matera</v>
      </c>
      <c r="I23">
        <f>IFERROR(__xludf.DUMMYFUNCTION("""COMPUTED_VALUE"""),28.0)</f>
        <v>28</v>
      </c>
      <c r="J23">
        <f>IFERROR(__xludf.DUMMYFUNCTION("""COMPUTED_VALUE"""),1117.0)</f>
        <v>1117</v>
      </c>
      <c r="K23" t="str">
        <f>IFERROR(__xludf.DUMMYFUNCTION("""COMPUTED_VALUE"""),"Italy")</f>
        <v>Italy</v>
      </c>
      <c r="L23">
        <f>IFERROR(__xludf.DUMMYFUNCTION("""COMPUTED_VALUE"""),1.0)</f>
        <v>1</v>
      </c>
      <c r="M23">
        <f>IFERROR(__xludf.DUMMYFUNCTION("""COMPUTED_VALUE"""),6.0)</f>
        <v>6</v>
      </c>
      <c r="N23">
        <f>IFERROR(__xludf.DUMMYFUNCTION("""COMPUTED_VALUE"""),42465.0)</f>
        <v>42465</v>
      </c>
    </row>
    <row r="24">
      <c r="A24">
        <f>IFERROR(__xludf.DUMMYFUNCTION("""COMPUTED_VALUE"""),300.0)</f>
        <v>300</v>
      </c>
      <c r="B24">
        <f>IFERROR(__xludf.DUMMYFUNCTION("""COMPUTED_VALUE"""),40.6734)</f>
        <v>40.6734</v>
      </c>
      <c r="C24">
        <f>IFERROR(__xludf.DUMMYFUNCTION("""COMPUTED_VALUE"""),16.60121)</f>
        <v>16.60121</v>
      </c>
      <c r="D24" t="str">
        <f>IFERROR(__xludf.DUMMYFUNCTION("""COMPUTED_VALUE"""),"Bed &amp; Breakfast")</f>
        <v>Bed &amp; Breakfast</v>
      </c>
      <c r="E24" t="str">
        <f>IFERROR(__xludf.DUMMYFUNCTION("""COMPUTED_VALUE"""),"AURORA")</f>
        <v>AURORA</v>
      </c>
      <c r="F24" t="str">
        <f>IFERROR(__xludf.DUMMYFUNCTION("""COMPUTED_VALUE"""),"AULETTA MARIA AURORA")</f>
        <v>AULETTA MARIA AURORA</v>
      </c>
      <c r="G24" t="str">
        <f>IFERROR(__xludf.DUMMYFUNCTION("""COMPUTED_VALUE"""),"VIA GUGLIELMO MARCONI 13")</f>
        <v>VIA GUGLIELMO MARCONI 13</v>
      </c>
      <c r="H24" t="str">
        <f>IFERROR(__xludf.DUMMYFUNCTION("""COMPUTED_VALUE"""),"Matera")</f>
        <v>Matera</v>
      </c>
      <c r="I24">
        <f>IFERROR(__xludf.DUMMYFUNCTION("""COMPUTED_VALUE"""),159.0)</f>
        <v>159</v>
      </c>
      <c r="J24">
        <f>IFERROR(__xludf.DUMMYFUNCTION("""COMPUTED_VALUE"""),4882.0)</f>
        <v>4882</v>
      </c>
      <c r="K24" t="str">
        <f>IFERROR(__xludf.DUMMYFUNCTION("""COMPUTED_VALUE"""),"Italy")</f>
        <v>Italy</v>
      </c>
      <c r="L24">
        <f>IFERROR(__xludf.DUMMYFUNCTION("""COMPUTED_VALUE"""),7.0)</f>
        <v>7</v>
      </c>
      <c r="M24">
        <f>IFERROR(__xludf.DUMMYFUNCTION("""COMPUTED_VALUE"""),3.0)</f>
        <v>3</v>
      </c>
      <c r="N24">
        <f>IFERROR(__xludf.DUMMYFUNCTION("""COMPUTED_VALUE"""),42153.0)</f>
        <v>42153</v>
      </c>
    </row>
    <row r="25">
      <c r="A25">
        <f>IFERROR(__xludf.DUMMYFUNCTION("""COMPUTED_VALUE"""),301.0)</f>
        <v>301</v>
      </c>
      <c r="B25">
        <f>IFERROR(__xludf.DUMMYFUNCTION("""COMPUTED_VALUE"""),40.6710809)</f>
        <v>40.6710809</v>
      </c>
      <c r="C25">
        <f>IFERROR(__xludf.DUMMYFUNCTION("""COMPUTED_VALUE"""),16.5957062)</f>
        <v>16.5957062</v>
      </c>
      <c r="D25" t="str">
        <f>IFERROR(__xludf.DUMMYFUNCTION("""COMPUTED_VALUE"""),"Bed &amp; Breakfast")</f>
        <v>Bed &amp; Breakfast</v>
      </c>
      <c r="E25" t="str">
        <f>IFERROR(__xludf.DUMMYFUNCTION("""COMPUTED_VALUE"""),"B &amp; B DELL'ANGELO")</f>
        <v>B &amp; B DELL'ANGELO</v>
      </c>
      <c r="F25" t="str">
        <f>IFERROR(__xludf.DUMMYFUNCTION("""COMPUTED_VALUE"""),"DI CUIA ANGELA SAVERIA")</f>
        <v>DI CUIA ANGELA SAVERIA</v>
      </c>
      <c r="G25" t="str">
        <f>IFERROR(__xludf.DUMMYFUNCTION("""COMPUTED_VALUE"""),"C.DA PEDALE DELLA PALOMBA")</f>
        <v>C.DA PEDALE DELLA PALOMBA</v>
      </c>
      <c r="H25" t="str">
        <f>IFERROR(__xludf.DUMMYFUNCTION("""COMPUTED_VALUE"""),"Matera")</f>
        <v>Matera</v>
      </c>
      <c r="I25">
        <f>IFERROR(__xludf.DUMMYFUNCTION("""COMPUTED_VALUE"""),53.0)</f>
        <v>53</v>
      </c>
      <c r="J25">
        <f>IFERROR(__xludf.DUMMYFUNCTION("""COMPUTED_VALUE"""),392.0)</f>
        <v>392</v>
      </c>
      <c r="K25" t="str">
        <f>IFERROR(__xludf.DUMMYFUNCTION("""COMPUTED_VALUE"""),"Italy")</f>
        <v>Italy</v>
      </c>
      <c r="L25" t="str">
        <f>IFERROR(__xludf.DUMMYFUNCTION("""COMPUTED_VALUE"""),"")</f>
        <v/>
      </c>
      <c r="M25" t="str">
        <f>IFERROR(__xludf.DUMMYFUNCTION("""COMPUTED_VALUE"""),"")</f>
        <v/>
      </c>
      <c r="N25">
        <f>IFERROR(__xludf.DUMMYFUNCTION("""COMPUTED_VALUE"""),42577.0)</f>
        <v>42577</v>
      </c>
    </row>
    <row r="26">
      <c r="A26">
        <f>IFERROR(__xludf.DUMMYFUNCTION("""COMPUTED_VALUE"""),302.0)</f>
        <v>302</v>
      </c>
      <c r="B26">
        <f>IFERROR(__xludf.DUMMYFUNCTION("""COMPUTED_VALUE"""),40.6849044450416)</f>
        <v>40.68490445</v>
      </c>
      <c r="C26">
        <f>IFERROR(__xludf.DUMMYFUNCTION("""COMPUTED_VALUE"""),16.5872299415177)</f>
        <v>16.58722994</v>
      </c>
      <c r="D26" t="str">
        <f>IFERROR(__xludf.DUMMYFUNCTION("""COMPUTED_VALUE"""),"Bed &amp; Breakfast")</f>
        <v>Bed &amp; Breakfast</v>
      </c>
      <c r="E26" t="str">
        <f>IFERROR(__xludf.DUMMYFUNCTION("""COMPUTED_VALUE"""),"VILLA DEI PICENI")</f>
        <v>VILLA DEI PICENI</v>
      </c>
      <c r="F26" t="str">
        <f>IFERROR(__xludf.DUMMYFUNCTION("""COMPUTED_VALUE"""),"ANNA MARIA BERARDI")</f>
        <v>ANNA MARIA BERARDI</v>
      </c>
      <c r="G26" t="str">
        <f>IFERROR(__xludf.DUMMYFUNCTION("""COMPUTED_VALUE"""),"VIA DEI PICENI 20")</f>
        <v>VIA DEI PICENI 20</v>
      </c>
      <c r="H26" t="str">
        <f>IFERROR(__xludf.DUMMYFUNCTION("""COMPUTED_VALUE"""),"Matera")</f>
        <v>Matera</v>
      </c>
      <c r="I26">
        <f>IFERROR(__xludf.DUMMYFUNCTION("""COMPUTED_VALUE"""),51.0)</f>
        <v>51</v>
      </c>
      <c r="J26">
        <f>IFERROR(__xludf.DUMMYFUNCTION("""COMPUTED_VALUE"""),517.0)</f>
        <v>517</v>
      </c>
      <c r="K26" t="str">
        <f>IFERROR(__xludf.DUMMYFUNCTION("""COMPUTED_VALUE"""),"Italy")</f>
        <v>Italy</v>
      </c>
      <c r="L26">
        <f>IFERROR(__xludf.DUMMYFUNCTION("""COMPUTED_VALUE"""),5.0)</f>
        <v>5</v>
      </c>
      <c r="M26">
        <f>IFERROR(__xludf.DUMMYFUNCTION("""COMPUTED_VALUE"""),2.0)</f>
        <v>2</v>
      </c>
      <c r="N26">
        <f>IFERROR(__xludf.DUMMYFUNCTION("""COMPUTED_VALUE"""),39828.0)</f>
        <v>39828</v>
      </c>
    </row>
    <row r="27">
      <c r="A27">
        <f>IFERROR(__xludf.DUMMYFUNCTION("""COMPUTED_VALUE"""),305.0)</f>
        <v>305</v>
      </c>
      <c r="B27">
        <f>IFERROR(__xludf.DUMMYFUNCTION("""COMPUTED_VALUE"""),40.6490276)</f>
        <v>40.6490276</v>
      </c>
      <c r="C27">
        <f>IFERROR(__xludf.DUMMYFUNCTION("""COMPUTED_VALUE"""),16.6252952)</f>
        <v>16.6252952</v>
      </c>
      <c r="D27" t="str">
        <f>IFERROR(__xludf.DUMMYFUNCTION("""COMPUTED_VALUE"""),"Bed &amp; Breakfast")</f>
        <v>Bed &amp; Breakfast</v>
      </c>
      <c r="E27" t="str">
        <f>IFERROR(__xludf.DUMMYFUNCTION("""COMPUTED_VALUE"""),"B&amp;B AGNA")</f>
        <v>B&amp;B AGNA</v>
      </c>
      <c r="F27" t="str">
        <f>IFERROR(__xludf.DUMMYFUNCTION("""COMPUTED_VALUE"""),"FIORE ANTONIO")</f>
        <v>FIORE ANTONIO</v>
      </c>
      <c r="G27" t="str">
        <f>IFERROR(__xludf.DUMMYFUNCTION("""COMPUTED_VALUE"""),"CONTRADA AGNA SNC.")</f>
        <v>CONTRADA AGNA SNC.</v>
      </c>
      <c r="H27" t="str">
        <f>IFERROR(__xludf.DUMMYFUNCTION("""COMPUTED_VALUE"""),"Matera")</f>
        <v>Matera</v>
      </c>
      <c r="I27">
        <f>IFERROR(__xludf.DUMMYFUNCTION("""COMPUTED_VALUE"""),105.0)</f>
        <v>105</v>
      </c>
      <c r="J27">
        <f>IFERROR(__xludf.DUMMYFUNCTION("""COMPUTED_VALUE"""),402.0)</f>
        <v>402</v>
      </c>
      <c r="K27" t="str">
        <f>IFERROR(__xludf.DUMMYFUNCTION("""COMPUTED_VALUE"""),"Italy")</f>
        <v>Italy</v>
      </c>
      <c r="L27">
        <f>IFERROR(__xludf.DUMMYFUNCTION("""COMPUTED_VALUE"""),5.0)</f>
        <v>5</v>
      </c>
      <c r="M27">
        <f>IFERROR(__xludf.DUMMYFUNCTION("""COMPUTED_VALUE"""),2.0)</f>
        <v>2</v>
      </c>
      <c r="N27">
        <f>IFERROR(__xludf.DUMMYFUNCTION("""COMPUTED_VALUE"""),42199.0)</f>
        <v>42199</v>
      </c>
    </row>
    <row r="28">
      <c r="A28">
        <f>IFERROR(__xludf.DUMMYFUNCTION("""COMPUTED_VALUE"""),306.0)</f>
        <v>306</v>
      </c>
      <c r="B28">
        <f>IFERROR(__xludf.DUMMYFUNCTION("""COMPUTED_VALUE"""),40.6602956)</f>
        <v>40.6602956</v>
      </c>
      <c r="C28">
        <f>IFERROR(__xludf.DUMMYFUNCTION("""COMPUTED_VALUE"""),16.6090475)</f>
        <v>16.6090475</v>
      </c>
      <c r="D28" t="str">
        <f>IFERROR(__xludf.DUMMYFUNCTION("""COMPUTED_VALUE"""),"Bed &amp; Breakfast")</f>
        <v>Bed &amp; Breakfast</v>
      </c>
      <c r="E28" t="str">
        <f>IFERROR(__xludf.DUMMYFUNCTION("""COMPUTED_VALUE"""),"B&amp;B DON MILANI")</f>
        <v>B&amp;B DON MILANI</v>
      </c>
      <c r="F28" t="str">
        <f>IFERROR(__xludf.DUMMYFUNCTION("""COMPUTED_VALUE"""),"CAVONE ROSALBA")</f>
        <v>CAVONE ROSALBA</v>
      </c>
      <c r="G28" t="str">
        <f>IFERROR(__xludf.DUMMYFUNCTION("""COMPUTED_VALUE"""),"VIA D.L. MILANI 10")</f>
        <v>VIA D.L. MILANI 10</v>
      </c>
      <c r="H28" t="str">
        <f>IFERROR(__xludf.DUMMYFUNCTION("""COMPUTED_VALUE"""),"Matera")</f>
        <v>Matera</v>
      </c>
      <c r="I28">
        <f>IFERROR(__xludf.DUMMYFUNCTION("""COMPUTED_VALUE"""),103.0)</f>
        <v>103</v>
      </c>
      <c r="J28">
        <f>IFERROR(__xludf.DUMMYFUNCTION("""COMPUTED_VALUE"""),797.0)</f>
        <v>797</v>
      </c>
      <c r="K28" t="str">
        <f>IFERROR(__xludf.DUMMYFUNCTION("""COMPUTED_VALUE"""),"Italy")</f>
        <v>Italy</v>
      </c>
      <c r="L28">
        <f>IFERROR(__xludf.DUMMYFUNCTION("""COMPUTED_VALUE"""),9.0)</f>
        <v>9</v>
      </c>
      <c r="M28">
        <f>IFERROR(__xludf.DUMMYFUNCTION("""COMPUTED_VALUE"""),4.0)</f>
        <v>4</v>
      </c>
      <c r="N28">
        <f>IFERROR(__xludf.DUMMYFUNCTION("""COMPUTED_VALUE"""),42586.0)</f>
        <v>42586</v>
      </c>
    </row>
    <row r="29">
      <c r="A29">
        <f>IFERROR(__xludf.DUMMYFUNCTION("""COMPUTED_VALUE"""),307.0)</f>
        <v>307</v>
      </c>
      <c r="B29">
        <f>IFERROR(__xludf.DUMMYFUNCTION("""COMPUTED_VALUE"""),40.669989)</f>
        <v>40.669989</v>
      </c>
      <c r="C29">
        <f>IFERROR(__xludf.DUMMYFUNCTION("""COMPUTED_VALUE"""),16.60884)</f>
        <v>16.60884</v>
      </c>
      <c r="D29" t="str">
        <f>IFERROR(__xludf.DUMMYFUNCTION("""COMPUTED_VALUE"""),"Bed &amp; Breakfast")</f>
        <v>Bed &amp; Breakfast</v>
      </c>
      <c r="E29" t="str">
        <f>IFERROR(__xludf.DUMMYFUNCTION("""COMPUTED_VALUE"""),"B&amp;B PATA'")</f>
        <v>B&amp;B PATA'</v>
      </c>
      <c r="F29" t="str">
        <f>IFERROR(__xludf.DUMMYFUNCTION("""COMPUTED_VALUE"""),"TERESA LIONETTI")</f>
        <v>TERESA LIONETTI</v>
      </c>
      <c r="G29" t="str">
        <f>IFERROR(__xludf.DUMMYFUNCTION("""COMPUTED_VALUE"""),"VIA SANTA CESAREA 10")</f>
        <v>VIA SANTA CESAREA 10</v>
      </c>
      <c r="H29" t="str">
        <f>IFERROR(__xludf.DUMMYFUNCTION("""COMPUTED_VALUE"""),"Matera")</f>
        <v>Matera</v>
      </c>
      <c r="I29">
        <f>IFERROR(__xludf.DUMMYFUNCTION("""COMPUTED_VALUE"""),159.0)</f>
        <v>159</v>
      </c>
      <c r="J29">
        <f>IFERROR(__xludf.DUMMYFUNCTION("""COMPUTED_VALUE"""),171.0)</f>
        <v>171</v>
      </c>
      <c r="K29" t="str">
        <f>IFERROR(__xludf.DUMMYFUNCTION("""COMPUTED_VALUE"""),"Italy")</f>
        <v>Italy</v>
      </c>
      <c r="L29">
        <f>IFERROR(__xludf.DUMMYFUNCTION("""COMPUTED_VALUE"""),5.0)</f>
        <v>5</v>
      </c>
      <c r="M29">
        <f>IFERROR(__xludf.DUMMYFUNCTION("""COMPUTED_VALUE"""),2.0)</f>
        <v>2</v>
      </c>
      <c r="N29">
        <f>IFERROR(__xludf.DUMMYFUNCTION("""COMPUTED_VALUE"""),42577.0)</f>
        <v>42577</v>
      </c>
    </row>
    <row r="30">
      <c r="A30">
        <f>IFERROR(__xludf.DUMMYFUNCTION("""COMPUTED_VALUE"""),310.0)</f>
        <v>310</v>
      </c>
      <c r="B30">
        <f>IFERROR(__xludf.DUMMYFUNCTION("""COMPUTED_VALUE"""),40.6710809)</f>
        <v>40.6710809</v>
      </c>
      <c r="C30">
        <f>IFERROR(__xludf.DUMMYFUNCTION("""COMPUTED_VALUE"""),16.5957062)</f>
        <v>16.5957062</v>
      </c>
      <c r="D30" t="str">
        <f>IFERROR(__xludf.DUMMYFUNCTION("""COMPUTED_VALUE"""),"Bed &amp; Breakfast")</f>
        <v>Bed &amp; Breakfast</v>
      </c>
      <c r="E30" t="str">
        <f>IFERROR(__xludf.DUMMYFUNCTION("""COMPUTED_VALUE"""),"BEST VALUE")</f>
        <v>BEST VALUE</v>
      </c>
      <c r="F30" t="str">
        <f>IFERROR(__xludf.DUMMYFUNCTION("""COMPUTED_VALUE"""),"SINNO CARMINE")</f>
        <v>SINNO CARMINE</v>
      </c>
      <c r="G30" t="str">
        <f>IFERROR(__xludf.DUMMYFUNCTION("""COMPUTED_VALUE"""),"via Fratelli grimm 5")</f>
        <v>via Fratelli grimm 5</v>
      </c>
      <c r="H30" t="str">
        <f>IFERROR(__xludf.DUMMYFUNCTION("""COMPUTED_VALUE"""),"Matera")</f>
        <v>Matera</v>
      </c>
      <c r="I30">
        <f>IFERROR(__xludf.DUMMYFUNCTION("""COMPUTED_VALUE"""),159.0)</f>
        <v>159</v>
      </c>
      <c r="J30">
        <f>IFERROR(__xludf.DUMMYFUNCTION("""COMPUTED_VALUE"""),47.0)</f>
        <v>47</v>
      </c>
      <c r="K30" t="str">
        <f>IFERROR(__xludf.DUMMYFUNCTION("""COMPUTED_VALUE"""),"Italy")</f>
        <v>Italy</v>
      </c>
      <c r="L30">
        <f>IFERROR(__xludf.DUMMYFUNCTION("""COMPUTED_VALUE"""),34.0)</f>
        <v>34</v>
      </c>
      <c r="M30">
        <f>IFERROR(__xludf.DUMMYFUNCTION("""COMPUTED_VALUE"""),4.0)</f>
        <v>4</v>
      </c>
      <c r="N30">
        <f>IFERROR(__xludf.DUMMYFUNCTION("""COMPUTED_VALUE"""),38391.0)</f>
        <v>38391</v>
      </c>
    </row>
    <row r="31">
      <c r="A31">
        <f>IFERROR(__xludf.DUMMYFUNCTION("""COMPUTED_VALUE"""),311.0)</f>
        <v>311</v>
      </c>
      <c r="B31">
        <f>IFERROR(__xludf.DUMMYFUNCTION("""COMPUTED_VALUE"""),40.6806036)</f>
        <v>40.6806036</v>
      </c>
      <c r="C31">
        <f>IFERROR(__xludf.DUMMYFUNCTION("""COMPUTED_VALUE"""),16.5838406)</f>
        <v>16.5838406</v>
      </c>
      <c r="D31" t="str">
        <f>IFERROR(__xludf.DUMMYFUNCTION("""COMPUTED_VALUE"""),"Bed &amp; Breakfast")</f>
        <v>Bed &amp; Breakfast</v>
      </c>
      <c r="E31" t="str">
        <f>IFERROR(__xludf.DUMMYFUNCTION("""COMPUTED_VALUE"""),"BUON VENTO")</f>
        <v>BUON VENTO</v>
      </c>
      <c r="F31" t="str">
        <f>IFERROR(__xludf.DUMMYFUNCTION("""COMPUTED_VALUE"""),"FRANCESCO PAOLO NICOLETTI")</f>
        <v>FRANCESCO PAOLO NICOLETTI</v>
      </c>
      <c r="G31" t="str">
        <f>IFERROR(__xludf.DUMMYFUNCTION("""COMPUTED_VALUE"""),"VIA GRAVINA 7")</f>
        <v>VIA GRAVINA 7</v>
      </c>
      <c r="H31" t="str">
        <f>IFERROR(__xludf.DUMMYFUNCTION("""COMPUTED_VALUE"""),"Matera")</f>
        <v>Matera</v>
      </c>
      <c r="I31">
        <f>IFERROR(__xludf.DUMMYFUNCTION("""COMPUTED_VALUE"""),68.0)</f>
        <v>68</v>
      </c>
      <c r="J31">
        <f>IFERROR(__xludf.DUMMYFUNCTION("""COMPUTED_VALUE"""),1034.0)</f>
        <v>1034</v>
      </c>
      <c r="K31" t="str">
        <f>IFERROR(__xludf.DUMMYFUNCTION("""COMPUTED_VALUE"""),"Italy")</f>
        <v>Italy</v>
      </c>
      <c r="L31">
        <f>IFERROR(__xludf.DUMMYFUNCTION("""COMPUTED_VALUE"""),52.0)</f>
        <v>52</v>
      </c>
      <c r="M31">
        <f>IFERROR(__xludf.DUMMYFUNCTION("""COMPUTED_VALUE"""),4.0)</f>
        <v>4</v>
      </c>
      <c r="N31">
        <f>IFERROR(__xludf.DUMMYFUNCTION("""COMPUTED_VALUE"""),42367.0)</f>
        <v>42367</v>
      </c>
    </row>
    <row r="32">
      <c r="A32">
        <f>IFERROR(__xludf.DUMMYFUNCTION("""COMPUTED_VALUE"""),312.0)</f>
        <v>312</v>
      </c>
      <c r="B32">
        <f>IFERROR(__xludf.DUMMYFUNCTION("""COMPUTED_VALUE"""),40.6616999)</f>
        <v>40.6616999</v>
      </c>
      <c r="C32">
        <f>IFERROR(__xludf.DUMMYFUNCTION("""COMPUTED_VALUE"""),16.6090141)</f>
        <v>16.6090141</v>
      </c>
      <c r="D32" t="str">
        <f>IFERROR(__xludf.DUMMYFUNCTION("""COMPUTED_VALUE"""),"Bed &amp; Breakfast")</f>
        <v>Bed &amp; Breakfast</v>
      </c>
      <c r="E32" t="str">
        <f>IFERROR(__xludf.DUMMYFUNCTION("""COMPUTED_VALUE"""),"CASA E BOTTEGA")</f>
        <v>CASA E BOTTEGA</v>
      </c>
      <c r="F32" t="str">
        <f>IFERROR(__xludf.DUMMYFUNCTION("""COMPUTED_VALUE"""),"ANDREA RIZZELLI")</f>
        <v>ANDREA RIZZELLI</v>
      </c>
      <c r="G32" t="str">
        <f>IFERROR(__xludf.DUMMYFUNCTION("""COMPUTED_VALUE"""),"VIA CHIANCALATA 5")</f>
        <v>VIA CHIANCALATA 5</v>
      </c>
      <c r="H32" t="str">
        <f>IFERROR(__xludf.DUMMYFUNCTION("""COMPUTED_VALUE"""),"Matera")</f>
        <v>Matera</v>
      </c>
      <c r="I32">
        <f>IFERROR(__xludf.DUMMYFUNCTION("""COMPUTED_VALUE"""),103.0)</f>
        <v>103</v>
      </c>
      <c r="J32">
        <f>IFERROR(__xludf.DUMMYFUNCTION("""COMPUTED_VALUE"""),459.0)</f>
        <v>459</v>
      </c>
      <c r="K32" t="str">
        <f>IFERROR(__xludf.DUMMYFUNCTION("""COMPUTED_VALUE"""),"Italy")</f>
        <v>Italy</v>
      </c>
      <c r="L32">
        <f>IFERROR(__xludf.DUMMYFUNCTION("""COMPUTED_VALUE"""),5.0)</f>
        <v>5</v>
      </c>
      <c r="M32">
        <f>IFERROR(__xludf.DUMMYFUNCTION("""COMPUTED_VALUE"""),4.0)</f>
        <v>4</v>
      </c>
      <c r="N32">
        <f>IFERROR(__xludf.DUMMYFUNCTION("""COMPUTED_VALUE"""),42338.0)</f>
        <v>42338</v>
      </c>
    </row>
    <row r="33">
      <c r="A33">
        <f>IFERROR(__xludf.DUMMYFUNCTION("""COMPUTED_VALUE"""),313.0)</f>
        <v>313</v>
      </c>
      <c r="B33">
        <f>IFERROR(__xludf.DUMMYFUNCTION("""COMPUTED_VALUE"""),40.66654)</f>
        <v>40.66654</v>
      </c>
      <c r="C33">
        <f>IFERROR(__xludf.DUMMYFUNCTION("""COMPUTED_VALUE"""),16.6116928)</f>
        <v>16.6116928</v>
      </c>
      <c r="D33" t="str">
        <f>IFERROR(__xludf.DUMMYFUNCTION("""COMPUTED_VALUE"""),"Bed &amp; Breakfast")</f>
        <v>Bed &amp; Breakfast</v>
      </c>
      <c r="E33" t="str">
        <f>IFERROR(__xludf.DUMMYFUNCTION("""COMPUTED_VALUE"""),"CASA LAMANNA")</f>
        <v>CASA LAMANNA</v>
      </c>
      <c r="F33" t="str">
        <f>IFERROR(__xludf.DUMMYFUNCTION("""COMPUTED_VALUE"""),"PROVINZANO ANTONIA")</f>
        <v>PROVINZANO ANTONIA</v>
      </c>
      <c r="G33" t="str">
        <f>IFERROR(__xludf.DUMMYFUNCTION("""COMPUTED_VALUE"""),"VIA SAN POTITO 43")</f>
        <v>VIA SAN POTITO 43</v>
      </c>
      <c r="H33" t="str">
        <f>IFERROR(__xludf.DUMMYFUNCTION("""COMPUTED_VALUE"""),"Matera")</f>
        <v>Matera</v>
      </c>
      <c r="I33">
        <f>IFERROR(__xludf.DUMMYFUNCTION("""COMPUTED_VALUE"""),159.0)</f>
        <v>159</v>
      </c>
      <c r="J33">
        <f>IFERROR(__xludf.DUMMYFUNCTION("""COMPUTED_VALUE"""),1294.0)</f>
        <v>1294</v>
      </c>
      <c r="K33" t="str">
        <f>IFERROR(__xludf.DUMMYFUNCTION("""COMPUTED_VALUE"""),"Italy")</f>
        <v>Italy</v>
      </c>
      <c r="L33">
        <f>IFERROR(__xludf.DUMMYFUNCTION("""COMPUTED_VALUE"""),1.0)</f>
        <v>1</v>
      </c>
      <c r="M33">
        <f>IFERROR(__xludf.DUMMYFUNCTION("""COMPUTED_VALUE"""),4.0)</f>
        <v>4</v>
      </c>
      <c r="N33">
        <f>IFERROR(__xludf.DUMMYFUNCTION("""COMPUTED_VALUE"""),38572.0)</f>
        <v>38572</v>
      </c>
    </row>
    <row r="34">
      <c r="A34">
        <f>IFERROR(__xludf.DUMMYFUNCTION("""COMPUTED_VALUE"""),314.0)</f>
        <v>314</v>
      </c>
      <c r="B34">
        <f>IFERROR(__xludf.DUMMYFUNCTION("""COMPUTED_VALUE"""),40.6673746)</f>
        <v>40.6673746</v>
      </c>
      <c r="C34">
        <f>IFERROR(__xludf.DUMMYFUNCTION("""COMPUTED_VALUE"""),16.6103511)</f>
        <v>16.6103511</v>
      </c>
      <c r="D34" t="str">
        <f>IFERROR(__xludf.DUMMYFUNCTION("""COMPUTED_VALUE"""),"Bed &amp; Breakfast")</f>
        <v>Bed &amp; Breakfast</v>
      </c>
      <c r="E34" t="str">
        <f>IFERROR(__xludf.DUMMYFUNCTION("""COMPUTED_VALUE"""),"CASA NEI SASSI")</f>
        <v>CASA NEI SASSI</v>
      </c>
      <c r="F34" t="str">
        <f>IFERROR(__xludf.DUMMYFUNCTION("""COMPUTED_VALUE"""),"LIONETTI GIUSEPPE")</f>
        <v>LIONETTI GIUSEPPE</v>
      </c>
      <c r="G34" t="str">
        <f>IFERROR(__xludf.DUMMYFUNCTION("""COMPUTED_VALUE"""),"VIA DEI FIORENTINI 72")</f>
        <v>VIA DEI FIORENTINI 72</v>
      </c>
      <c r="H34" t="str">
        <f>IFERROR(__xludf.DUMMYFUNCTION("""COMPUTED_VALUE"""),"Matera")</f>
        <v>Matera</v>
      </c>
      <c r="I34">
        <f>IFERROR(__xludf.DUMMYFUNCTION("""COMPUTED_VALUE"""),159.0)</f>
        <v>159</v>
      </c>
      <c r="J34">
        <f>IFERROR(__xludf.DUMMYFUNCTION("""COMPUTED_VALUE"""),891.0)</f>
        <v>891</v>
      </c>
      <c r="K34" t="str">
        <f>IFERROR(__xludf.DUMMYFUNCTION("""COMPUTED_VALUE"""),"Italy")</f>
        <v>Italy</v>
      </c>
      <c r="L34">
        <f>IFERROR(__xludf.DUMMYFUNCTION("""COMPUTED_VALUE"""),1.0)</f>
        <v>1</v>
      </c>
      <c r="M34">
        <f>IFERROR(__xludf.DUMMYFUNCTION("""COMPUTED_VALUE"""),6.0)</f>
        <v>6</v>
      </c>
      <c r="N34">
        <f>IFERROR(__xludf.DUMMYFUNCTION("""COMPUTED_VALUE"""),42192.0)</f>
        <v>42192</v>
      </c>
    </row>
    <row r="35">
      <c r="A35">
        <f>IFERROR(__xludf.DUMMYFUNCTION("""COMPUTED_VALUE"""),316.0)</f>
        <v>316</v>
      </c>
      <c r="B35">
        <f>IFERROR(__xludf.DUMMYFUNCTION("""COMPUTED_VALUE"""),40.6715245)</f>
        <v>40.6715245</v>
      </c>
      <c r="C35">
        <f>IFERROR(__xludf.DUMMYFUNCTION("""COMPUTED_VALUE"""),16.6065459)</f>
        <v>16.6065459</v>
      </c>
      <c r="D35" t="str">
        <f>IFERROR(__xludf.DUMMYFUNCTION("""COMPUTED_VALUE"""),"Bed &amp; Breakfast")</f>
        <v>Bed &amp; Breakfast</v>
      </c>
      <c r="E35" t="str">
        <f>IFERROR(__xludf.DUMMYFUNCTION("""COMPUTED_VALUE"""),"CONTE GATTINI")</f>
        <v>CONTE GATTINI</v>
      </c>
      <c r="F35" t="str">
        <f>IFERROR(__xludf.DUMMYFUNCTION("""COMPUTED_VALUE"""),"FRAMCESCO FESTA")</f>
        <v>FRAMCESCO FESTA</v>
      </c>
      <c r="G35" t="str">
        <f>IFERROR(__xludf.DUMMYFUNCTION("""COMPUTED_VALUE"""),"VIA LAURA BATTISTA 2")</f>
        <v>VIA LAURA BATTISTA 2</v>
      </c>
      <c r="H35" t="str">
        <f>IFERROR(__xludf.DUMMYFUNCTION("""COMPUTED_VALUE"""),"Matera")</f>
        <v>Matera</v>
      </c>
      <c r="I35">
        <f>IFERROR(__xludf.DUMMYFUNCTION("""COMPUTED_VALUE"""),159.0)</f>
        <v>159</v>
      </c>
      <c r="J35">
        <f>IFERROR(__xludf.DUMMYFUNCTION("""COMPUTED_VALUE"""),3679.0)</f>
        <v>3679</v>
      </c>
      <c r="K35" t="str">
        <f>IFERROR(__xludf.DUMMYFUNCTION("""COMPUTED_VALUE"""),"Italy")</f>
        <v>Italy</v>
      </c>
      <c r="L35">
        <f>IFERROR(__xludf.DUMMYFUNCTION("""COMPUTED_VALUE"""),1.0)</f>
        <v>1</v>
      </c>
      <c r="M35">
        <f>IFERROR(__xludf.DUMMYFUNCTION("""COMPUTED_VALUE"""),4.0)</f>
        <v>4</v>
      </c>
      <c r="N35">
        <f>IFERROR(__xludf.DUMMYFUNCTION("""COMPUTED_VALUE"""),42431.0)</f>
        <v>42431</v>
      </c>
    </row>
    <row r="36">
      <c r="A36">
        <f>IFERROR(__xludf.DUMMYFUNCTION("""COMPUTED_VALUE"""),317.0)</f>
        <v>317</v>
      </c>
      <c r="B36">
        <f>IFERROR(__xludf.DUMMYFUNCTION("""COMPUTED_VALUE"""),40.6653869)</f>
        <v>40.6653869</v>
      </c>
      <c r="C36">
        <f>IFERROR(__xludf.DUMMYFUNCTION("""COMPUTED_VALUE"""),16.606358)</f>
        <v>16.606358</v>
      </c>
      <c r="D36" t="str">
        <f>IFERROR(__xludf.DUMMYFUNCTION("""COMPUTED_VALUE"""),"Bed &amp; Breakfast")</f>
        <v>Bed &amp; Breakfast</v>
      </c>
      <c r="E36" t="str">
        <f>IFERROR(__xludf.DUMMYFUNCTION("""COMPUTED_VALUE"""),"DA VINCI")</f>
        <v>DA VINCI</v>
      </c>
      <c r="F36" t="str">
        <f>IFERROR(__xludf.DUMMYFUNCTION("""COMPUTED_VALUE"""),"VINCENZO FRASCELLA")</f>
        <v>VINCENZO FRASCELLA</v>
      </c>
      <c r="G36" t="str">
        <f>IFERROR(__xludf.DUMMYFUNCTION("""COMPUTED_VALUE"""),"VIA LUCANA 101")</f>
        <v>VIA LUCANA 101</v>
      </c>
      <c r="H36" t="str">
        <f>IFERROR(__xludf.DUMMYFUNCTION("""COMPUTED_VALUE"""),"Matera")</f>
        <v>Matera</v>
      </c>
      <c r="I36">
        <f>IFERROR(__xludf.DUMMYFUNCTION("""COMPUTED_VALUE"""),159.0)</f>
        <v>159</v>
      </c>
      <c r="J36">
        <f>IFERROR(__xludf.DUMMYFUNCTION("""COMPUTED_VALUE"""),3966.0)</f>
        <v>3966</v>
      </c>
      <c r="K36" t="str">
        <f>IFERROR(__xludf.DUMMYFUNCTION("""COMPUTED_VALUE"""),"Italy")</f>
        <v>Italy</v>
      </c>
      <c r="L36">
        <f>IFERROR(__xludf.DUMMYFUNCTION("""COMPUTED_VALUE"""),5.0)</f>
        <v>5</v>
      </c>
      <c r="M36">
        <f>IFERROR(__xludf.DUMMYFUNCTION("""COMPUTED_VALUE"""),6.0)</f>
        <v>6</v>
      </c>
      <c r="N36">
        <f>IFERROR(__xludf.DUMMYFUNCTION("""COMPUTED_VALUE"""),42289.0)</f>
        <v>42289</v>
      </c>
    </row>
    <row r="37">
      <c r="A37">
        <f>IFERROR(__xludf.DUMMYFUNCTION("""COMPUTED_VALUE"""),318.0)</f>
        <v>318</v>
      </c>
      <c r="B37">
        <f>IFERROR(__xludf.DUMMYFUNCTION("""COMPUTED_VALUE"""),40.6686036)</f>
        <v>40.6686036</v>
      </c>
      <c r="C37">
        <f>IFERROR(__xludf.DUMMYFUNCTION("""COMPUTED_VALUE"""),16.6021741)</f>
        <v>16.6021741</v>
      </c>
      <c r="D37" t="str">
        <f>IFERROR(__xludf.DUMMYFUNCTION("""COMPUTED_VALUE"""),"Bed &amp; Breakfast")</f>
        <v>Bed &amp; Breakfast</v>
      </c>
      <c r="E37" t="str">
        <f>IFERROR(__xludf.DUMMYFUNCTION("""COMPUTED_VALUE"""),"DANTE")</f>
        <v>DANTE</v>
      </c>
      <c r="F37" t="str">
        <f>IFERROR(__xludf.DUMMYFUNCTION("""COMPUTED_VALUE"""),"BARBOSA CUTINO DANEXYS")</f>
        <v>BARBOSA CUTINO DANEXYS</v>
      </c>
      <c r="G37" t="str">
        <f>IFERROR(__xludf.DUMMYFUNCTION("""COMPUTED_VALUE"""),"VIA DANTE 5")</f>
        <v>VIA DANTE 5</v>
      </c>
      <c r="H37" t="str">
        <f>IFERROR(__xludf.DUMMYFUNCTION("""COMPUTED_VALUE"""),"Matera")</f>
        <v>Matera</v>
      </c>
      <c r="I37">
        <f>IFERROR(__xludf.DUMMYFUNCTION("""COMPUTED_VALUE"""),71.0)</f>
        <v>71</v>
      </c>
      <c r="J37">
        <f>IFERROR(__xludf.DUMMYFUNCTION("""COMPUTED_VALUE"""),377.0)</f>
        <v>377</v>
      </c>
      <c r="K37" t="str">
        <f>IFERROR(__xludf.DUMMYFUNCTION("""COMPUTED_VALUE"""),"Italy")</f>
        <v>Italy</v>
      </c>
      <c r="L37">
        <f>IFERROR(__xludf.DUMMYFUNCTION("""COMPUTED_VALUE"""),30.0)</f>
        <v>30</v>
      </c>
      <c r="M37">
        <f>IFERROR(__xludf.DUMMYFUNCTION("""COMPUTED_VALUE"""),3.0)</f>
        <v>3</v>
      </c>
      <c r="N37">
        <f>IFERROR(__xludf.DUMMYFUNCTION("""COMPUTED_VALUE"""),42474.0)</f>
        <v>42474</v>
      </c>
    </row>
    <row r="38">
      <c r="A38">
        <f>IFERROR(__xludf.DUMMYFUNCTION("""COMPUTED_VALUE"""),320.0)</f>
        <v>320</v>
      </c>
      <c r="B38">
        <f>IFERROR(__xludf.DUMMYFUNCTION("""COMPUTED_VALUE"""),40.6686766)</f>
        <v>40.6686766</v>
      </c>
      <c r="C38">
        <f>IFERROR(__xludf.DUMMYFUNCTION("""COMPUTED_VALUE"""),16.6059701)</f>
        <v>16.6059701</v>
      </c>
      <c r="D38" t="str">
        <f>IFERROR(__xludf.DUMMYFUNCTION("""COMPUTED_VALUE"""),"Bed &amp; Breakfast")</f>
        <v>Bed &amp; Breakfast</v>
      </c>
      <c r="E38" t="str">
        <f>IFERROR(__xludf.DUMMYFUNCTION("""COMPUTED_VALUE"""),"DEL CORSO")</f>
        <v>DEL CORSO</v>
      </c>
      <c r="F38" t="str">
        <f>IFERROR(__xludf.DUMMYFUNCTION("""COMPUTED_VALUE"""),"MICHELE GUARINI")</f>
        <v>MICHELE GUARINI</v>
      </c>
      <c r="G38" t="str">
        <f>IFERROR(__xludf.DUMMYFUNCTION("""COMPUTED_VALUE"""),"VIA XXSETTEMBRE 39")</f>
        <v>VIA XXSETTEMBRE 39</v>
      </c>
      <c r="H38" t="str">
        <f>IFERROR(__xludf.DUMMYFUNCTION("""COMPUTED_VALUE"""),"Matera")</f>
        <v>Matera</v>
      </c>
      <c r="I38">
        <f>IFERROR(__xludf.DUMMYFUNCTION("""COMPUTED_VALUE"""),159.0)</f>
        <v>159</v>
      </c>
      <c r="J38">
        <f>IFERROR(__xludf.DUMMYFUNCTION("""COMPUTED_VALUE"""),4537.0)</f>
        <v>4537</v>
      </c>
      <c r="K38" t="str">
        <f>IFERROR(__xludf.DUMMYFUNCTION("""COMPUTED_VALUE"""),"Italy")</f>
        <v>Italy</v>
      </c>
      <c r="L38">
        <f>IFERROR(__xludf.DUMMYFUNCTION("""COMPUTED_VALUE"""),73.0)</f>
        <v>73</v>
      </c>
      <c r="M38">
        <f>IFERROR(__xludf.DUMMYFUNCTION("""COMPUTED_VALUE"""),4.0)</f>
        <v>4</v>
      </c>
      <c r="N38">
        <f>IFERROR(__xludf.DUMMYFUNCTION("""COMPUTED_VALUE"""),42093.0)</f>
        <v>42093</v>
      </c>
    </row>
    <row r="39">
      <c r="A39">
        <f>IFERROR(__xludf.DUMMYFUNCTION("""COMPUTED_VALUE"""),321.0)</f>
        <v>321</v>
      </c>
      <c r="B39">
        <f>IFERROR(__xludf.DUMMYFUNCTION("""COMPUTED_VALUE"""),40.665389)</f>
        <v>40.665389</v>
      </c>
      <c r="C39">
        <f>IFERROR(__xludf.DUMMYFUNCTION("""COMPUTED_VALUE"""),16.6114459)</f>
        <v>16.6114459</v>
      </c>
      <c r="D39" t="str">
        <f>IFERROR(__xludf.DUMMYFUNCTION("""COMPUTED_VALUE"""),"Bed &amp; Breakfast")</f>
        <v>Bed &amp; Breakfast</v>
      </c>
      <c r="E39" t="str">
        <f>IFERROR(__xludf.DUMMYFUNCTION("""COMPUTED_VALUE"""),"DELLA TORRE")</f>
        <v>DELLA TORRE</v>
      </c>
      <c r="F39" t="str">
        <f>IFERROR(__xludf.DUMMYFUNCTION("""COMPUTED_VALUE"""),"MONTANARO ANNA MARIA")</f>
        <v>MONTANARO ANNA MARIA</v>
      </c>
      <c r="G39" t="str">
        <f>IFERROR(__xludf.DUMMYFUNCTION("""COMPUTED_VALUE"""),"VIA MURO 26")</f>
        <v>VIA MURO 26</v>
      </c>
      <c r="H39" t="str">
        <f>IFERROR(__xludf.DUMMYFUNCTION("""COMPUTED_VALUE"""),"Matera")</f>
        <v>Matera</v>
      </c>
      <c r="I39" t="str">
        <f>IFERROR(__xludf.DUMMYFUNCTION("""COMPUTED_VALUE"""),"")</f>
        <v/>
      </c>
      <c r="J39" t="str">
        <f>IFERROR(__xludf.DUMMYFUNCTION("""COMPUTED_VALUE"""),"")</f>
        <v/>
      </c>
      <c r="K39" t="str">
        <f>IFERROR(__xludf.DUMMYFUNCTION("""COMPUTED_VALUE"""),"Italy")</f>
        <v>Italy</v>
      </c>
      <c r="L39" t="str">
        <f>IFERROR(__xludf.DUMMYFUNCTION("""COMPUTED_VALUE"""),"")</f>
        <v/>
      </c>
      <c r="M39">
        <f>IFERROR(__xludf.DUMMYFUNCTION("""COMPUTED_VALUE"""),4.0)</f>
        <v>4</v>
      </c>
      <c r="N39">
        <f>IFERROR(__xludf.DUMMYFUNCTION("""COMPUTED_VALUE"""),38016.0)</f>
        <v>38016</v>
      </c>
    </row>
    <row r="40">
      <c r="A40">
        <f>IFERROR(__xludf.DUMMYFUNCTION("""COMPUTED_VALUE"""),322.0)</f>
        <v>322</v>
      </c>
      <c r="B40">
        <f>IFERROR(__xludf.DUMMYFUNCTION("""COMPUTED_VALUE"""),40.6923396244114)</f>
        <v>40.69233962</v>
      </c>
      <c r="C40">
        <f>IFERROR(__xludf.DUMMYFUNCTION("""COMPUTED_VALUE"""),16.5922999259716)</f>
        <v>16.59229993</v>
      </c>
      <c r="D40" t="str">
        <f>IFERROR(__xludf.DUMMYFUNCTION("""COMPUTED_VALUE"""),"Bed &amp; Breakfast")</f>
        <v>Bed &amp; Breakfast</v>
      </c>
      <c r="E40" t="str">
        <f>IFERROR(__xludf.DUMMYFUNCTION("""COMPUTED_VALUE"""),"B &amp; B SERRITELLO LA VALLE")</f>
        <v>B &amp; B SERRITELLO LA VALLE</v>
      </c>
      <c r="F40" t="str">
        <f>IFERROR(__xludf.DUMMYFUNCTION("""COMPUTED_VALUE"""),"FRANCESCO P. MANICONE")</f>
        <v>FRANCESCO P. MANICONE</v>
      </c>
      <c r="G40" t="str">
        <f>IFERROR(__xludf.DUMMYFUNCTION("""COMPUTED_VALUE"""),"C.DA SERRITELLOM LA VALLE")</f>
        <v>C.DA SERRITELLOM LA VALLE</v>
      </c>
      <c r="H40" t="str">
        <f>IFERROR(__xludf.DUMMYFUNCTION("""COMPUTED_VALUE"""),"Matera")</f>
        <v>Matera</v>
      </c>
      <c r="I40">
        <f>IFERROR(__xludf.DUMMYFUNCTION("""COMPUTED_VALUE"""),52.0)</f>
        <v>52</v>
      </c>
      <c r="J40">
        <f>IFERROR(__xludf.DUMMYFUNCTION("""COMPUTED_VALUE"""),1242.0)</f>
        <v>1242</v>
      </c>
      <c r="K40" t="str">
        <f>IFERROR(__xludf.DUMMYFUNCTION("""COMPUTED_VALUE"""),"Italy")</f>
        <v>Italy</v>
      </c>
      <c r="L40">
        <f>IFERROR(__xludf.DUMMYFUNCTION("""COMPUTED_VALUE"""),7.0)</f>
        <v>7</v>
      </c>
      <c r="M40">
        <f>IFERROR(__xludf.DUMMYFUNCTION("""COMPUTED_VALUE"""),6.0)</f>
        <v>6</v>
      </c>
      <c r="N40">
        <f>IFERROR(__xludf.DUMMYFUNCTION("""COMPUTED_VALUE"""),42043.0)</f>
        <v>42043</v>
      </c>
    </row>
    <row r="41">
      <c r="A41">
        <f>IFERROR(__xludf.DUMMYFUNCTION("""COMPUTED_VALUE"""),323.0)</f>
        <v>323</v>
      </c>
      <c r="B41">
        <f>IFERROR(__xludf.DUMMYFUNCTION("""COMPUTED_VALUE"""),40.6663738)</f>
        <v>40.6663738</v>
      </c>
      <c r="C41">
        <f>IFERROR(__xludf.DUMMYFUNCTION("""COMPUTED_VALUE"""),16.6075909)</f>
        <v>16.6075909</v>
      </c>
      <c r="D41" t="str">
        <f>IFERROR(__xludf.DUMMYFUNCTION("""COMPUTED_VALUE"""),"Bed &amp; Breakfast")</f>
        <v>Bed &amp; Breakfast</v>
      </c>
      <c r="E41" t="str">
        <f>IFERROR(__xludf.DUMMYFUNCTION("""COMPUTED_VALUE"""),"DOMUS DEL BARISANO")</f>
        <v>DOMUS DEL BARISANO</v>
      </c>
      <c r="F41" t="str">
        <f>IFERROR(__xludf.DUMMYFUNCTION("""COMPUTED_VALUE"""),"ANDRISANI FABIO")</f>
        <v>ANDRISANI FABIO</v>
      </c>
      <c r="G41" t="str">
        <f>IFERROR(__xludf.DUMMYFUNCTION("""COMPUTED_VALUE"""),"VIA LOMBARDI 16")</f>
        <v>VIA LOMBARDI 16</v>
      </c>
      <c r="H41" t="str">
        <f>IFERROR(__xludf.DUMMYFUNCTION("""COMPUTED_VALUE"""),"Matera")</f>
        <v>Matera</v>
      </c>
      <c r="I41" t="str">
        <f>IFERROR(__xludf.DUMMYFUNCTION("""COMPUTED_VALUE"""),"")</f>
        <v/>
      </c>
      <c r="J41" t="str">
        <f>IFERROR(__xludf.DUMMYFUNCTION("""COMPUTED_VALUE"""),"")</f>
        <v/>
      </c>
      <c r="K41" t="str">
        <f>IFERROR(__xludf.DUMMYFUNCTION("""COMPUTED_VALUE"""),"Italy")</f>
        <v>Italy</v>
      </c>
      <c r="L41" t="str">
        <f>IFERROR(__xludf.DUMMYFUNCTION("""COMPUTED_VALUE"""),"")</f>
        <v/>
      </c>
      <c r="M41">
        <f>IFERROR(__xludf.DUMMYFUNCTION("""COMPUTED_VALUE"""),8.0)</f>
        <v>8</v>
      </c>
      <c r="N41">
        <f>IFERROR(__xludf.DUMMYFUNCTION("""COMPUTED_VALUE"""),39190.0)</f>
        <v>39190</v>
      </c>
    </row>
    <row r="42">
      <c r="A42">
        <f>IFERROR(__xludf.DUMMYFUNCTION("""COMPUTED_VALUE"""),324.0)</f>
        <v>324</v>
      </c>
      <c r="B42">
        <f>IFERROR(__xludf.DUMMYFUNCTION("""COMPUTED_VALUE"""),40.6602956)</f>
        <v>40.6602956</v>
      </c>
      <c r="C42">
        <f>IFERROR(__xludf.DUMMYFUNCTION("""COMPUTED_VALUE"""),16.6090475)</f>
        <v>16.6090475</v>
      </c>
      <c r="D42" t="str">
        <f>IFERROR(__xludf.DUMMYFUNCTION("""COMPUTED_VALUE"""),"Bed &amp; Breakfast")</f>
        <v>Bed &amp; Breakfast</v>
      </c>
      <c r="E42" t="str">
        <f>IFERROR(__xludf.DUMMYFUNCTION("""COMPUTED_VALUE"""),"DON MILANI")</f>
        <v>DON MILANI</v>
      </c>
      <c r="F42" t="str">
        <f>IFERROR(__xludf.DUMMYFUNCTION("""COMPUTED_VALUE"""),"CAVONE ROSALBA")</f>
        <v>CAVONE ROSALBA</v>
      </c>
      <c r="G42" t="str">
        <f>IFERROR(__xludf.DUMMYFUNCTION("""COMPUTED_VALUE"""),"VIA DON L. MILANI 10")</f>
        <v>VIA DON L. MILANI 10</v>
      </c>
      <c r="H42" t="str">
        <f>IFERROR(__xludf.DUMMYFUNCTION("""COMPUTED_VALUE"""),"Matera")</f>
        <v>Matera</v>
      </c>
      <c r="I42">
        <f>IFERROR(__xludf.DUMMYFUNCTION("""COMPUTED_VALUE"""),103.0)</f>
        <v>103</v>
      </c>
      <c r="J42">
        <f>IFERROR(__xludf.DUMMYFUNCTION("""COMPUTED_VALUE"""),797.0)</f>
        <v>797</v>
      </c>
      <c r="K42" t="str">
        <f>IFERROR(__xludf.DUMMYFUNCTION("""COMPUTED_VALUE"""),"Italy")</f>
        <v>Italy</v>
      </c>
      <c r="L42">
        <f>IFERROR(__xludf.DUMMYFUNCTION("""COMPUTED_VALUE"""),9.0)</f>
        <v>9</v>
      </c>
      <c r="M42">
        <f>IFERROR(__xludf.DUMMYFUNCTION("""COMPUTED_VALUE"""),4.0)</f>
        <v>4</v>
      </c>
      <c r="N42">
        <f>IFERROR(__xludf.DUMMYFUNCTION("""COMPUTED_VALUE"""),42586.0)</f>
        <v>42586</v>
      </c>
    </row>
    <row r="43">
      <c r="A43">
        <f>IFERROR(__xludf.DUMMYFUNCTION("""COMPUTED_VALUE"""),326.0)</f>
        <v>326</v>
      </c>
      <c r="B43">
        <f>IFERROR(__xludf.DUMMYFUNCTION("""COMPUTED_VALUE"""),40.6833836)</f>
        <v>40.6833836</v>
      </c>
      <c r="C43">
        <f>IFERROR(__xludf.DUMMYFUNCTION("""COMPUTED_VALUE"""),16.5792271)</f>
        <v>16.5792271</v>
      </c>
      <c r="D43" t="str">
        <f>IFERROR(__xludf.DUMMYFUNCTION("""COMPUTED_VALUE"""),"Bed &amp; Breakfast")</f>
        <v>Bed &amp; Breakfast</v>
      </c>
      <c r="E43" t="str">
        <f>IFERROR(__xludf.DUMMYFUNCTION("""COMPUTED_VALUE"""),"EDONE'")</f>
        <v>EDONE'</v>
      </c>
      <c r="F43" t="str">
        <f>IFERROR(__xludf.DUMMYFUNCTION("""COMPUTED_VALUE"""),"FRANCESCA TATARANNI")</f>
        <v>FRANCESCA TATARANNI</v>
      </c>
      <c r="G43" t="str">
        <f>IFERROR(__xludf.DUMMYFUNCTION("""COMPUTED_VALUE"""),"VIA CILEA 66")</f>
        <v>VIA CILEA 66</v>
      </c>
      <c r="H43" t="str">
        <f>IFERROR(__xludf.DUMMYFUNCTION("""COMPUTED_VALUE"""),"Matera")</f>
        <v>Matera</v>
      </c>
      <c r="I43">
        <f>IFERROR(__xludf.DUMMYFUNCTION("""COMPUTED_VALUE"""),51.0)</f>
        <v>51</v>
      </c>
      <c r="J43">
        <f>IFERROR(__xludf.DUMMYFUNCTION("""COMPUTED_VALUE"""),1451.0)</f>
        <v>1451</v>
      </c>
      <c r="K43" t="str">
        <f>IFERROR(__xludf.DUMMYFUNCTION("""COMPUTED_VALUE"""),"Italy")</f>
        <v>Italy</v>
      </c>
      <c r="L43">
        <f>IFERROR(__xludf.DUMMYFUNCTION("""COMPUTED_VALUE"""),15.0)</f>
        <v>15</v>
      </c>
      <c r="M43">
        <f>IFERROR(__xludf.DUMMYFUNCTION("""COMPUTED_VALUE"""),4.0)</f>
        <v>4</v>
      </c>
      <c r="N43">
        <f>IFERROR(__xludf.DUMMYFUNCTION("""COMPUTED_VALUE"""),42571.0)</f>
        <v>42571</v>
      </c>
    </row>
    <row r="44">
      <c r="A44">
        <f>IFERROR(__xludf.DUMMYFUNCTION("""COMPUTED_VALUE"""),327.0)</f>
        <v>327</v>
      </c>
      <c r="B44">
        <f>IFERROR(__xludf.DUMMYFUNCTION("""COMPUTED_VALUE"""),40.6744738)</f>
        <v>40.6744738</v>
      </c>
      <c r="C44">
        <f>IFERROR(__xludf.DUMMYFUNCTION("""COMPUTED_VALUE"""),16.6017041)</f>
        <v>16.6017041</v>
      </c>
      <c r="D44" t="str">
        <f>IFERROR(__xludf.DUMMYFUNCTION("""COMPUTED_VALUE"""),"Bed &amp; Breakfast")</f>
        <v>Bed &amp; Breakfast</v>
      </c>
      <c r="E44" t="str">
        <f>IFERROR(__xludf.DUMMYFUNCTION("""COMPUTED_VALUE"""),"ELIZABETH")</f>
        <v>ELIZABETH</v>
      </c>
      <c r="F44" t="str">
        <f>IFERROR(__xludf.DUMMYFUNCTION("""COMPUTED_VALUE"""),"SALUZZI FRANCESCO")</f>
        <v>SALUZZI FRANCESCO</v>
      </c>
      <c r="G44" t="str">
        <f>IFERROR(__xludf.DUMMYFUNCTION("""COMPUTED_VALUE"""),"VIA UMBRIA 6")</f>
        <v>VIA UMBRIA 6</v>
      </c>
      <c r="H44" t="str">
        <f>IFERROR(__xludf.DUMMYFUNCTION("""COMPUTED_VALUE"""),"Matera")</f>
        <v>Matera</v>
      </c>
      <c r="I44">
        <f>IFERROR(__xludf.DUMMYFUNCTION("""COMPUTED_VALUE"""),159.0)</f>
        <v>159</v>
      </c>
      <c r="J44">
        <f>IFERROR(__xludf.DUMMYFUNCTION("""COMPUTED_VALUE"""),4845.0)</f>
        <v>4845</v>
      </c>
      <c r="K44" t="str">
        <f>IFERROR(__xludf.DUMMYFUNCTION("""COMPUTED_VALUE"""),"Italy")</f>
        <v>Italy</v>
      </c>
      <c r="L44">
        <f>IFERROR(__xludf.DUMMYFUNCTION("""COMPUTED_VALUE"""),12.0)</f>
        <v>12</v>
      </c>
      <c r="M44">
        <f>IFERROR(__xludf.DUMMYFUNCTION("""COMPUTED_VALUE"""),4.0)</f>
        <v>4</v>
      </c>
      <c r="N44">
        <f>IFERROR(__xludf.DUMMYFUNCTION("""COMPUTED_VALUE"""),42550.0)</f>
        <v>42550</v>
      </c>
    </row>
    <row r="45">
      <c r="A45">
        <f>IFERROR(__xludf.DUMMYFUNCTION("""COMPUTED_VALUE"""),328.0)</f>
        <v>328</v>
      </c>
      <c r="B45">
        <f>IFERROR(__xludf.DUMMYFUNCTION("""COMPUTED_VALUE"""),40.6632427)</f>
        <v>40.6632427</v>
      </c>
      <c r="C45">
        <f>IFERROR(__xludf.DUMMYFUNCTION("""COMPUTED_VALUE"""),16.6123433)</f>
        <v>16.6123433</v>
      </c>
      <c r="D45" t="str">
        <f>IFERROR(__xludf.DUMMYFUNCTION("""COMPUTED_VALUE"""),"Bed &amp; Breakfast")</f>
        <v>Bed &amp; Breakfast</v>
      </c>
      <c r="E45" t="str">
        <f>IFERROR(__xludf.DUMMYFUNCTION("""COMPUTED_VALUE"""),"FOFO'")</f>
        <v>FOFO'</v>
      </c>
      <c r="F45" t="str">
        <f>IFERROR(__xludf.DUMMYFUNCTION("""COMPUTED_VALUE"""),"RAFFAELE STIFANO")</f>
        <v>RAFFAELE STIFANO</v>
      </c>
      <c r="G45" t="str">
        <f>IFERROR(__xludf.DUMMYFUNCTION("""COMPUTED_VALUE"""),"RIONE MALVE 67")</f>
        <v>RIONE MALVE 67</v>
      </c>
      <c r="H45" t="str">
        <f>IFERROR(__xludf.DUMMYFUNCTION("""COMPUTED_VALUE"""),"Matera")</f>
        <v>Matera</v>
      </c>
      <c r="I45">
        <f>IFERROR(__xludf.DUMMYFUNCTION("""COMPUTED_VALUE"""),159.0)</f>
        <v>159</v>
      </c>
      <c r="J45">
        <f>IFERROR(__xludf.DUMMYFUNCTION("""COMPUTED_VALUE"""),2328.0)</f>
        <v>2328</v>
      </c>
      <c r="K45" t="str">
        <f>IFERROR(__xludf.DUMMYFUNCTION("""COMPUTED_VALUE"""),"Italy")</f>
        <v>Italy</v>
      </c>
      <c r="L45">
        <f>IFERROR(__xludf.DUMMYFUNCTION("""COMPUTED_VALUE"""),2.0)</f>
        <v>2</v>
      </c>
      <c r="M45">
        <f>IFERROR(__xludf.DUMMYFUNCTION("""COMPUTED_VALUE"""),2.0)</f>
        <v>2</v>
      </c>
      <c r="N45">
        <f>IFERROR(__xludf.DUMMYFUNCTION("""COMPUTED_VALUE"""),42264.0)</f>
        <v>42264</v>
      </c>
    </row>
    <row r="46">
      <c r="A46">
        <f>IFERROR(__xludf.DUMMYFUNCTION("""COMPUTED_VALUE"""),329.0)</f>
        <v>329</v>
      </c>
      <c r="B46">
        <f>IFERROR(__xludf.DUMMYFUNCTION("""COMPUTED_VALUE"""),40.6584495)</f>
        <v>40.6584495</v>
      </c>
      <c r="C46">
        <f>IFERROR(__xludf.DUMMYFUNCTION("""COMPUTED_VALUE"""),16.6099328)</f>
        <v>16.6099328</v>
      </c>
      <c r="D46" t="str">
        <f>IFERROR(__xludf.DUMMYFUNCTION("""COMPUTED_VALUE"""),"Bed &amp; Breakfast")</f>
        <v>Bed &amp; Breakfast</v>
      </c>
      <c r="E46" t="str">
        <f>IFERROR(__xludf.DUMMYFUNCTION("""COMPUTED_VALUE"""),"FRANCARO'")</f>
        <v>FRANCARO'</v>
      </c>
      <c r="F46" t="str">
        <f>IFERROR(__xludf.DUMMYFUNCTION("""COMPUTED_VALUE"""),"ROBERTO MARIA FRANCESCA")</f>
        <v>ROBERTO MARIA FRANCESCA</v>
      </c>
      <c r="G46" t="str">
        <f>IFERROR(__xludf.DUMMYFUNCTION("""COMPUTED_VALUE"""),"VIA MORELLI 1")</f>
        <v>VIA MORELLI 1</v>
      </c>
      <c r="H46" t="str">
        <f>IFERROR(__xludf.DUMMYFUNCTION("""COMPUTED_VALUE"""),"Matera")</f>
        <v>Matera</v>
      </c>
      <c r="I46">
        <f>IFERROR(__xludf.DUMMYFUNCTION("""COMPUTED_VALUE"""),103.0)</f>
        <v>103</v>
      </c>
      <c r="J46">
        <f>IFERROR(__xludf.DUMMYFUNCTION("""COMPUTED_VALUE"""),519.0)</f>
        <v>519</v>
      </c>
      <c r="K46" t="str">
        <f>IFERROR(__xludf.DUMMYFUNCTION("""COMPUTED_VALUE"""),"Italy")</f>
        <v>Italy</v>
      </c>
      <c r="L46">
        <f>IFERROR(__xludf.DUMMYFUNCTION("""COMPUTED_VALUE"""),7.0)</f>
        <v>7</v>
      </c>
      <c r="M46">
        <f>IFERROR(__xludf.DUMMYFUNCTION("""COMPUTED_VALUE"""),2.0)</f>
        <v>2</v>
      </c>
      <c r="N46">
        <f>IFERROR(__xludf.DUMMYFUNCTION("""COMPUTED_VALUE"""),39534.0)</f>
        <v>39534</v>
      </c>
    </row>
    <row r="47">
      <c r="A47">
        <f>IFERROR(__xludf.DUMMYFUNCTION("""COMPUTED_VALUE"""),331.0)</f>
        <v>331</v>
      </c>
      <c r="B47">
        <f>IFERROR(__xludf.DUMMYFUNCTION("""COMPUTED_VALUE"""),40.666601)</f>
        <v>40.666601</v>
      </c>
      <c r="C47">
        <f>IFERROR(__xludf.DUMMYFUNCTION("""COMPUTED_VALUE"""),16.608135)</f>
        <v>16.608135</v>
      </c>
      <c r="D47" t="str">
        <f>IFERROR(__xludf.DUMMYFUNCTION("""COMPUTED_VALUE"""),"Bed &amp; Breakfast")</f>
        <v>Bed &amp; Breakfast</v>
      </c>
      <c r="E47" t="str">
        <f>IFERROR(__xludf.DUMMYFUNCTION("""COMPUTED_VALUE"""),"IL CAMINETTO")</f>
        <v>IL CAMINETTO</v>
      </c>
      <c r="F47" t="str">
        <f>IFERROR(__xludf.DUMMYFUNCTION("""COMPUTED_VALUE"""),"BATTENTE CONCETTA IMMACOLATA")</f>
        <v>BATTENTE CONCETTA IMMACOLATA</v>
      </c>
      <c r="G47" t="str">
        <f>IFERROR(__xludf.DUMMYFUNCTION("""COMPUTED_VALUE"""),"via Fiorentini 52")</f>
        <v>via Fiorentini 52</v>
      </c>
      <c r="H47" t="str">
        <f>IFERROR(__xludf.DUMMYFUNCTION("""COMPUTED_VALUE"""),"Matera")</f>
        <v>Matera</v>
      </c>
      <c r="I47">
        <f>IFERROR(__xludf.DUMMYFUNCTION("""COMPUTED_VALUE"""),159.0)</f>
        <v>159</v>
      </c>
      <c r="J47">
        <f>IFERROR(__xludf.DUMMYFUNCTION("""COMPUTED_VALUE"""),527.0)</f>
        <v>527</v>
      </c>
      <c r="K47" t="str">
        <f>IFERROR(__xludf.DUMMYFUNCTION("""COMPUTED_VALUE"""),"Italy")</f>
        <v>Italy</v>
      </c>
      <c r="L47">
        <f>IFERROR(__xludf.DUMMYFUNCTION("""COMPUTED_VALUE"""),3.0)</f>
        <v>3</v>
      </c>
      <c r="M47">
        <f>IFERROR(__xludf.DUMMYFUNCTION("""COMPUTED_VALUE"""),2.0)</f>
        <v>2</v>
      </c>
      <c r="N47">
        <f>IFERROR(__xludf.DUMMYFUNCTION("""COMPUTED_VALUE"""),39604.0)</f>
        <v>39604</v>
      </c>
    </row>
    <row r="48">
      <c r="A48">
        <f>IFERROR(__xludf.DUMMYFUNCTION("""COMPUTED_VALUE"""),333.0)</f>
        <v>333</v>
      </c>
      <c r="B48">
        <f>IFERROR(__xludf.DUMMYFUNCTION("""COMPUTED_VALUE"""),40.6756892)</f>
        <v>40.6756892</v>
      </c>
      <c r="C48">
        <f>IFERROR(__xludf.DUMMYFUNCTION("""COMPUTED_VALUE"""),16.5742617)</f>
        <v>16.5742617</v>
      </c>
      <c r="D48" t="str">
        <f>IFERROR(__xludf.DUMMYFUNCTION("""COMPUTED_VALUE"""),"Bed &amp; Breakfast")</f>
        <v>Bed &amp; Breakfast</v>
      </c>
      <c r="E48" t="str">
        <f>IFERROR(__xludf.DUMMYFUNCTION("""COMPUTED_VALUE"""),"IL CRUSCO")</f>
        <v>IL CRUSCO</v>
      </c>
      <c r="F48" t="str">
        <f>IFERROR(__xludf.DUMMYFUNCTION("""COMPUTED_VALUE"""),"DILEO NICLA")</f>
        <v>DILEO NICLA</v>
      </c>
      <c r="G48" t="str">
        <f>IFERROR(__xludf.DUMMYFUNCTION("""COMPUTED_VALUE"""),"VIA DELL'AGRICOLTURA 8")</f>
        <v>VIA DELL'AGRICOLTURA 8</v>
      </c>
      <c r="H48" t="str">
        <f>IFERROR(__xludf.DUMMYFUNCTION("""COMPUTED_VALUE"""),"Matera")</f>
        <v>Matera</v>
      </c>
      <c r="I48">
        <f>IFERROR(__xludf.DUMMYFUNCTION("""COMPUTED_VALUE"""),67.0)</f>
        <v>67</v>
      </c>
      <c r="J48">
        <f>IFERROR(__xludf.DUMMYFUNCTION("""COMPUTED_VALUE"""),3848.0)</f>
        <v>3848</v>
      </c>
      <c r="K48" t="str">
        <f>IFERROR(__xludf.DUMMYFUNCTION("""COMPUTED_VALUE"""),"Italy")</f>
        <v>Italy</v>
      </c>
      <c r="L48">
        <f>IFERROR(__xludf.DUMMYFUNCTION("""COMPUTED_VALUE"""),7.0)</f>
        <v>7</v>
      </c>
      <c r="M48">
        <f>IFERROR(__xludf.DUMMYFUNCTION("""COMPUTED_VALUE"""),3.0)</f>
        <v>3</v>
      </c>
      <c r="N48">
        <f>IFERROR(__xludf.DUMMYFUNCTION("""COMPUTED_VALUE"""),42976.0)</f>
        <v>42976</v>
      </c>
    </row>
    <row r="49">
      <c r="A49">
        <f>IFERROR(__xludf.DUMMYFUNCTION("""COMPUTED_VALUE"""),336.0)</f>
        <v>336</v>
      </c>
      <c r="B49">
        <f>IFERROR(__xludf.DUMMYFUNCTION("""COMPUTED_VALUE"""),40.6774682)</f>
        <v>40.6774682</v>
      </c>
      <c r="C49">
        <f>IFERROR(__xludf.DUMMYFUNCTION("""COMPUTED_VALUE"""),16.5792931)</f>
        <v>16.5792931</v>
      </c>
      <c r="D49" t="str">
        <f>IFERROR(__xludf.DUMMYFUNCTION("""COMPUTED_VALUE"""),"Bed &amp; Breakfast")</f>
        <v>Bed &amp; Breakfast</v>
      </c>
      <c r="E49" t="str">
        <f>IFERROR(__xludf.DUMMYFUNCTION("""COMPUTED_VALUE"""),"IL MODERNO")</f>
        <v>IL MODERNO</v>
      </c>
      <c r="F49" t="str">
        <f>IFERROR(__xludf.DUMMYFUNCTION("""COMPUTED_VALUE"""),"FEDELE GIUDICEPIETRO")</f>
        <v>FEDELE GIUDICEPIETRO</v>
      </c>
      <c r="G49" t="str">
        <f>IFERROR(__xludf.DUMMYFUNCTION("""COMPUTED_VALUE"""),"VIA COSENZA 70")</f>
        <v>VIA COSENZA 70</v>
      </c>
      <c r="H49" t="str">
        <f>IFERROR(__xludf.DUMMYFUNCTION("""COMPUTED_VALUE"""),"Matera")</f>
        <v>Matera</v>
      </c>
      <c r="I49">
        <f>IFERROR(__xludf.DUMMYFUNCTION("""COMPUTED_VALUE"""),67.0)</f>
        <v>67</v>
      </c>
      <c r="J49">
        <f>IFERROR(__xludf.DUMMYFUNCTION("""COMPUTED_VALUE"""),1505.0)</f>
        <v>1505</v>
      </c>
      <c r="K49" t="str">
        <f>IFERROR(__xludf.DUMMYFUNCTION("""COMPUTED_VALUE"""),"Italy")</f>
        <v>Italy</v>
      </c>
      <c r="L49">
        <f>IFERROR(__xludf.DUMMYFUNCTION("""COMPUTED_VALUE"""),17.0)</f>
        <v>17</v>
      </c>
      <c r="M49">
        <f>IFERROR(__xludf.DUMMYFUNCTION("""COMPUTED_VALUE"""),4.0)</f>
        <v>4</v>
      </c>
      <c r="N49">
        <f>IFERROR(__xludf.DUMMYFUNCTION("""COMPUTED_VALUE"""),42437.0)</f>
        <v>42437</v>
      </c>
    </row>
    <row r="50">
      <c r="A50">
        <f>IFERROR(__xludf.DUMMYFUNCTION("""COMPUTED_VALUE"""),337.0)</f>
        <v>337</v>
      </c>
      <c r="B50">
        <f>IFERROR(__xludf.DUMMYFUNCTION("""COMPUTED_VALUE"""),40.66444)</f>
        <v>40.66444</v>
      </c>
      <c r="C50">
        <f>IFERROR(__xludf.DUMMYFUNCTION("""COMPUTED_VALUE"""),16.603387)</f>
        <v>16.603387</v>
      </c>
      <c r="D50" t="str">
        <f>IFERROR(__xludf.DUMMYFUNCTION("""COMPUTED_VALUE"""),"Bed &amp; Breakfast")</f>
        <v>Bed &amp; Breakfast</v>
      </c>
      <c r="E50" t="str">
        <f>IFERROR(__xludf.DUMMYFUNCTION("""COMPUTED_VALUE"""),"IL PICCHIOLINO")</f>
        <v>IL PICCHIOLINO</v>
      </c>
      <c r="F50" t="str">
        <f>IFERROR(__xludf.DUMMYFUNCTION("""COMPUTED_VALUE"""),"MICHELE GROSSI")</f>
        <v>MICHELE GROSSI</v>
      </c>
      <c r="G50" t="str">
        <f>IFERROR(__xludf.DUMMYFUNCTION("""COMPUTED_VALUE"""),"via Antonio Gramsci 20")</f>
        <v>via Antonio Gramsci 20</v>
      </c>
      <c r="H50" t="str">
        <f>IFERROR(__xludf.DUMMYFUNCTION("""COMPUTED_VALUE"""),"Matera")</f>
        <v>Matera</v>
      </c>
      <c r="I50">
        <f>IFERROR(__xludf.DUMMYFUNCTION("""COMPUTED_VALUE"""),71.0)</f>
        <v>71</v>
      </c>
      <c r="J50">
        <f>IFERROR(__xludf.DUMMYFUNCTION("""COMPUTED_VALUE"""),302.0)</f>
        <v>302</v>
      </c>
      <c r="K50" t="str">
        <f>IFERROR(__xludf.DUMMYFUNCTION("""COMPUTED_VALUE"""),"Italy")</f>
        <v>Italy</v>
      </c>
      <c r="L50">
        <f>IFERROR(__xludf.DUMMYFUNCTION("""COMPUTED_VALUE"""),14.0)</f>
        <v>14</v>
      </c>
      <c r="M50">
        <f>IFERROR(__xludf.DUMMYFUNCTION("""COMPUTED_VALUE"""),3.0)</f>
        <v>3</v>
      </c>
      <c r="N50">
        <f>IFERROR(__xludf.DUMMYFUNCTION("""COMPUTED_VALUE"""),42809.0)</f>
        <v>42809</v>
      </c>
    </row>
    <row r="51">
      <c r="A51">
        <f>IFERROR(__xludf.DUMMYFUNCTION("""COMPUTED_VALUE"""),338.0)</f>
        <v>338</v>
      </c>
      <c r="B51">
        <f>IFERROR(__xludf.DUMMYFUNCTION("""COMPUTED_VALUE"""),40.6663864)</f>
        <v>40.6663864</v>
      </c>
      <c r="C51">
        <f>IFERROR(__xludf.DUMMYFUNCTION("""COMPUTED_VALUE"""),16.6067083)</f>
        <v>16.6067083</v>
      </c>
      <c r="D51" t="str">
        <f>IFERROR(__xludf.DUMMYFUNCTION("""COMPUTED_VALUE"""),"Bed &amp; Breakfast")</f>
        <v>Bed &amp; Breakfast</v>
      </c>
      <c r="E51" t="str">
        <f>IFERROR(__xludf.DUMMYFUNCTION("""COMPUTED_VALUE"""),"IL PONTICELLO AI SASSI")</f>
        <v>IL PONTICELLO AI SASSI</v>
      </c>
      <c r="F51" t="str">
        <f>IFERROR(__xludf.DUMMYFUNCTION("""COMPUTED_VALUE"""),"ANGELA DE SIMONE")</f>
        <v>ANGELA DE SIMONE</v>
      </c>
      <c r="G51" t="str">
        <f>IFERROR(__xludf.DUMMYFUNCTION("""COMPUTED_VALUE"""),"VIA LOMBARDI 4")</f>
        <v>VIA LOMBARDI 4</v>
      </c>
      <c r="H51" t="str">
        <f>IFERROR(__xludf.DUMMYFUNCTION("""COMPUTED_VALUE"""),"Matera")</f>
        <v>Matera</v>
      </c>
      <c r="I51">
        <f>IFERROR(__xludf.DUMMYFUNCTION("""COMPUTED_VALUE"""),159.0)</f>
        <v>159</v>
      </c>
      <c r="J51">
        <f>IFERROR(__xludf.DUMMYFUNCTION("""COMPUTED_VALUE"""),628.0)</f>
        <v>628</v>
      </c>
      <c r="K51" t="str">
        <f>IFERROR(__xludf.DUMMYFUNCTION("""COMPUTED_VALUE"""),"Italy")</f>
        <v>Italy</v>
      </c>
      <c r="L51">
        <f>IFERROR(__xludf.DUMMYFUNCTION("""COMPUTED_VALUE"""),3.0)</f>
        <v>3</v>
      </c>
      <c r="M51">
        <f>IFERROR(__xludf.DUMMYFUNCTION("""COMPUTED_VALUE"""),3.0)</f>
        <v>3</v>
      </c>
      <c r="N51">
        <f>IFERROR(__xludf.DUMMYFUNCTION("""COMPUTED_VALUE"""),42409.0)</f>
        <v>42409</v>
      </c>
    </row>
    <row r="52">
      <c r="A52">
        <f>IFERROR(__xludf.DUMMYFUNCTION("""COMPUTED_VALUE"""),339.0)</f>
        <v>339</v>
      </c>
      <c r="B52">
        <f>IFERROR(__xludf.DUMMYFUNCTION("""COMPUTED_VALUE"""),40.6670941)</f>
        <v>40.6670941</v>
      </c>
      <c r="C52">
        <f>IFERROR(__xludf.DUMMYFUNCTION("""COMPUTED_VALUE"""),16.6070503)</f>
        <v>16.6070503</v>
      </c>
      <c r="D52" t="str">
        <f>IFERROR(__xludf.DUMMYFUNCTION("""COMPUTED_VALUE"""),"Bed &amp; Breakfast")</f>
        <v>Bed &amp; Breakfast</v>
      </c>
      <c r="E52" t="str">
        <f>IFERROR(__xludf.DUMMYFUNCTION("""COMPUTED_VALUE"""),"IL PORTICO DEI SASSI")</f>
        <v>IL PORTICO DEI SASSI</v>
      </c>
      <c r="F52" t="str">
        <f>IFERROR(__xludf.DUMMYFUNCTION("""COMPUTED_VALUE"""),"GURRADO BRUNA")</f>
        <v>GURRADO BRUNA</v>
      </c>
      <c r="G52" t="str">
        <f>IFERROR(__xludf.DUMMYFUNCTION("""COMPUTED_VALUE"""),"VIA PENTASUGLIA 8")</f>
        <v>VIA PENTASUGLIA 8</v>
      </c>
      <c r="H52" t="str">
        <f>IFERROR(__xludf.DUMMYFUNCTION("""COMPUTED_VALUE"""),"Matera")</f>
        <v>Matera</v>
      </c>
      <c r="I52">
        <f>IFERROR(__xludf.DUMMYFUNCTION("""COMPUTED_VALUE"""),159.0)</f>
        <v>159</v>
      </c>
      <c r="J52">
        <f>IFERROR(__xludf.DUMMYFUNCTION("""COMPUTED_VALUE"""),28.0)</f>
        <v>28</v>
      </c>
      <c r="K52" t="str">
        <f>IFERROR(__xludf.DUMMYFUNCTION("""COMPUTED_VALUE"""),"Italy")</f>
        <v>Italy</v>
      </c>
      <c r="L52">
        <f>IFERROR(__xludf.DUMMYFUNCTION("""COMPUTED_VALUE"""),17.0)</f>
        <v>17</v>
      </c>
      <c r="M52">
        <f>IFERROR(__xludf.DUMMYFUNCTION("""COMPUTED_VALUE"""),2.0)</f>
        <v>2</v>
      </c>
      <c r="N52">
        <f>IFERROR(__xludf.DUMMYFUNCTION("""COMPUTED_VALUE"""),42509.0)</f>
        <v>42509</v>
      </c>
    </row>
    <row r="53">
      <c r="A53">
        <f>IFERROR(__xludf.DUMMYFUNCTION("""COMPUTED_VALUE"""),341.0)</f>
        <v>341</v>
      </c>
      <c r="B53">
        <f>IFERROR(__xludf.DUMMYFUNCTION("""COMPUTED_VALUE"""),40.6697833)</f>
        <v>40.6697833</v>
      </c>
      <c r="C53">
        <f>IFERROR(__xludf.DUMMYFUNCTION("""COMPUTED_VALUE"""),16.6075564)</f>
        <v>16.6075564</v>
      </c>
      <c r="D53" t="str">
        <f>IFERROR(__xludf.DUMMYFUNCTION("""COMPUTED_VALUE"""),"Bed &amp; Breakfast")</f>
        <v>Bed &amp; Breakfast</v>
      </c>
      <c r="E53" t="str">
        <f>IFERROR(__xludf.DUMMYFUNCTION("""COMPUTED_VALUE"""),"IL RE DEGLI SCALZI")</f>
        <v>IL RE DEGLI SCALZI</v>
      </c>
      <c r="F53" t="str">
        <f>IFERROR(__xludf.DUMMYFUNCTION("""COMPUTED_VALUE"""),"LAMACCHIA ANGELO")</f>
        <v>LAMACCHIA ANGELO</v>
      </c>
      <c r="G53" t="str">
        <f>IFERROR(__xludf.DUMMYFUNCTION("""COMPUTED_VALUE"""),"VIA F. PAOLO FESTA 10")</f>
        <v>VIA F. PAOLO FESTA 10</v>
      </c>
      <c r="H53" t="str">
        <f>IFERROR(__xludf.DUMMYFUNCTION("""COMPUTED_VALUE"""),"Matera")</f>
        <v>Matera</v>
      </c>
      <c r="I53">
        <f>IFERROR(__xludf.DUMMYFUNCTION("""COMPUTED_VALUE"""),159.0)</f>
        <v>159</v>
      </c>
      <c r="J53">
        <f>IFERROR(__xludf.DUMMYFUNCTION("""COMPUTED_VALUE"""),3474.0)</f>
        <v>3474</v>
      </c>
      <c r="K53" t="str">
        <f>IFERROR(__xludf.DUMMYFUNCTION("""COMPUTED_VALUE"""),"Italy")</f>
        <v>Italy</v>
      </c>
      <c r="L53">
        <f>IFERROR(__xludf.DUMMYFUNCTION("""COMPUTED_VALUE"""),3.0)</f>
        <v>3</v>
      </c>
      <c r="M53">
        <f>IFERROR(__xludf.DUMMYFUNCTION("""COMPUTED_VALUE"""),2.0)</f>
        <v>2</v>
      </c>
      <c r="N53">
        <f>IFERROR(__xludf.DUMMYFUNCTION("""COMPUTED_VALUE"""),42538.0)</f>
        <v>42538</v>
      </c>
    </row>
    <row r="54">
      <c r="A54">
        <f>IFERROR(__xludf.DUMMYFUNCTION("""COMPUTED_VALUE"""),342.0)</f>
        <v>342</v>
      </c>
      <c r="B54">
        <f>IFERROR(__xludf.DUMMYFUNCTION("""COMPUTED_VALUE"""),40.6636504)</f>
        <v>40.6636504</v>
      </c>
      <c r="C54">
        <f>IFERROR(__xludf.DUMMYFUNCTION("""COMPUTED_VALUE"""),16.6120014)</f>
        <v>16.6120014</v>
      </c>
      <c r="D54" t="str">
        <f>IFERROR(__xludf.DUMMYFUNCTION("""COMPUTED_VALUE"""),"Bed &amp; Breakfast")</f>
        <v>Bed &amp; Breakfast</v>
      </c>
      <c r="E54" t="str">
        <f>IFERROR(__xludf.DUMMYFUNCTION("""COMPUTED_VALUE"""),"IL SASSO E LA SETA")</f>
        <v>IL SASSO E LA SETA</v>
      </c>
      <c r="F54" t="str">
        <f>IFERROR(__xludf.DUMMYFUNCTION("""COMPUTED_VALUE"""),"PAOLICELLI LUCIANA")</f>
        <v>PAOLICELLI LUCIANA</v>
      </c>
      <c r="G54" t="str">
        <f>IFERROR(__xludf.DUMMYFUNCTION("""COMPUTED_VALUE"""),"RIONE MALVE 31")</f>
        <v>RIONE MALVE 31</v>
      </c>
      <c r="H54" t="str">
        <f>IFERROR(__xludf.DUMMYFUNCTION("""COMPUTED_VALUE"""),"Matera")</f>
        <v>Matera</v>
      </c>
      <c r="I54">
        <f>IFERROR(__xludf.DUMMYFUNCTION("""COMPUTED_VALUE"""),159.0)</f>
        <v>159</v>
      </c>
      <c r="J54">
        <f>IFERROR(__xludf.DUMMYFUNCTION("""COMPUTED_VALUE"""),2198.0)</f>
        <v>2198</v>
      </c>
      <c r="K54" t="str">
        <f>IFERROR(__xludf.DUMMYFUNCTION("""COMPUTED_VALUE"""),"Italy")</f>
        <v>Italy</v>
      </c>
      <c r="L54">
        <f>IFERROR(__xludf.DUMMYFUNCTION("""COMPUTED_VALUE"""),3.0)</f>
        <v>3</v>
      </c>
      <c r="M54">
        <f>IFERROR(__xludf.DUMMYFUNCTION("""COMPUTED_VALUE"""),5.0)</f>
        <v>5</v>
      </c>
      <c r="N54">
        <f>IFERROR(__xludf.DUMMYFUNCTION("""COMPUTED_VALUE"""),41814.0)</f>
        <v>41814</v>
      </c>
    </row>
    <row r="55">
      <c r="A55">
        <f>IFERROR(__xludf.DUMMYFUNCTION("""COMPUTED_VALUE"""),344.0)</f>
        <v>344</v>
      </c>
      <c r="B55">
        <f>IFERROR(__xludf.DUMMYFUNCTION("""COMPUTED_VALUE"""),40.6550333)</f>
        <v>40.6550333</v>
      </c>
      <c r="C55">
        <f>IFERROR(__xludf.DUMMYFUNCTION("""COMPUTED_VALUE"""),16.586422)</f>
        <v>16.586422</v>
      </c>
      <c r="D55" t="str">
        <f>IFERROR(__xludf.DUMMYFUNCTION("""COMPUTED_VALUE"""),"Bed &amp; Breakfast")</f>
        <v>Bed &amp; Breakfast</v>
      </c>
      <c r="E55" t="str">
        <f>IFERROR(__xludf.DUMMYFUNCTION("""COMPUTED_VALUE"""),"IL VILLINO")</f>
        <v>IL VILLINO</v>
      </c>
      <c r="F55" t="str">
        <f>IFERROR(__xludf.DUMMYFUNCTION("""COMPUTED_VALUE"""),"BIAGIO PAOLICELLI")</f>
        <v>BIAGIO PAOLICELLI</v>
      </c>
      <c r="G55" t="str">
        <f>IFERROR(__xludf.DUMMYFUNCTION("""COMPUTED_VALUE"""),"Cda . Pozzo Misseo")</f>
        <v>Cda . Pozzo Misseo</v>
      </c>
      <c r="H55" t="str">
        <f>IFERROR(__xludf.DUMMYFUNCTION("""COMPUTED_VALUE"""),"Matera")</f>
        <v>Matera</v>
      </c>
      <c r="I55">
        <f>IFERROR(__xludf.DUMMYFUNCTION("""COMPUTED_VALUE"""),100.0)</f>
        <v>100</v>
      </c>
      <c r="J55">
        <f>IFERROR(__xludf.DUMMYFUNCTION("""COMPUTED_VALUE"""),428.0)</f>
        <v>428</v>
      </c>
      <c r="K55" t="str">
        <f>IFERROR(__xludf.DUMMYFUNCTION("""COMPUTED_VALUE"""),"Italy")</f>
        <v>Italy</v>
      </c>
      <c r="L55">
        <f>IFERROR(__xludf.DUMMYFUNCTION("""COMPUTED_VALUE"""),1.0)</f>
        <v>1</v>
      </c>
      <c r="M55">
        <f>IFERROR(__xludf.DUMMYFUNCTION("""COMPUTED_VALUE"""),8.0)</f>
        <v>8</v>
      </c>
      <c r="N55">
        <f>IFERROR(__xludf.DUMMYFUNCTION("""COMPUTED_VALUE"""),39115.0)</f>
        <v>39115</v>
      </c>
    </row>
    <row r="56">
      <c r="A56">
        <f>IFERROR(__xludf.DUMMYFUNCTION("""COMPUTED_VALUE"""),348.0)</f>
        <v>348</v>
      </c>
      <c r="B56">
        <f>IFERROR(__xludf.DUMMYFUNCTION("""COMPUTED_VALUE"""),40.6648188)</f>
        <v>40.6648188</v>
      </c>
      <c r="C56">
        <f>IFERROR(__xludf.DUMMYFUNCTION("""COMPUTED_VALUE"""),16.6034347)</f>
        <v>16.6034347</v>
      </c>
      <c r="D56" t="str">
        <f>IFERROR(__xludf.DUMMYFUNCTION("""COMPUTED_VALUE"""),"Bed &amp; Breakfast")</f>
        <v>Bed &amp; Breakfast</v>
      </c>
      <c r="E56" t="str">
        <f>IFERROR(__xludf.DUMMYFUNCTION("""COMPUTED_VALUE"""),"LA CASA DI NINA")</f>
        <v>LA CASA DI NINA</v>
      </c>
      <c r="F56" t="str">
        <f>IFERROR(__xludf.DUMMYFUNCTION("""COMPUTED_VALUE"""),"ANNA MIGLIO")</f>
        <v>ANNA MIGLIO</v>
      </c>
      <c r="G56" t="str">
        <f>IFERROR(__xludf.DUMMYFUNCTION("""COMPUTED_VALUE"""),"VICO 2 PASSARELLI  2")</f>
        <v>VICO 2 PASSARELLI  2</v>
      </c>
      <c r="H56" t="str">
        <f>IFERROR(__xludf.DUMMYFUNCTION("""COMPUTED_VALUE"""),"Matera")</f>
        <v>Matera</v>
      </c>
      <c r="I56">
        <f>IFERROR(__xludf.DUMMYFUNCTION("""COMPUTED_VALUE"""),71.0)</f>
        <v>71</v>
      </c>
      <c r="J56">
        <f>IFERROR(__xludf.DUMMYFUNCTION("""COMPUTED_VALUE"""),323.0)</f>
        <v>323</v>
      </c>
      <c r="K56" t="str">
        <f>IFERROR(__xludf.DUMMYFUNCTION("""COMPUTED_VALUE"""),"Italy")</f>
        <v>Italy</v>
      </c>
      <c r="L56">
        <f>IFERROR(__xludf.DUMMYFUNCTION("""COMPUTED_VALUE"""),16.0)</f>
        <v>16</v>
      </c>
      <c r="M56">
        <f>IFERROR(__xludf.DUMMYFUNCTION("""COMPUTED_VALUE"""),4.0)</f>
        <v>4</v>
      </c>
      <c r="N56">
        <f>IFERROR(__xludf.DUMMYFUNCTION("""COMPUTED_VALUE"""),42254.0)</f>
        <v>42254</v>
      </c>
    </row>
    <row r="57">
      <c r="A57">
        <f>IFERROR(__xludf.DUMMYFUNCTION("""COMPUTED_VALUE"""),349.0)</f>
        <v>349</v>
      </c>
      <c r="B57">
        <f>IFERROR(__xludf.DUMMYFUNCTION("""COMPUTED_VALUE"""),40.6676142)</f>
        <v>40.6676142</v>
      </c>
      <c r="C57">
        <f>IFERROR(__xludf.DUMMYFUNCTION("""COMPUTED_VALUE"""),16.6041146)</f>
        <v>16.6041146</v>
      </c>
      <c r="D57" t="str">
        <f>IFERROR(__xludf.DUMMYFUNCTION("""COMPUTED_VALUE"""),"Bed &amp; Breakfast")</f>
        <v>Bed &amp; Breakfast</v>
      </c>
      <c r="E57" t="str">
        <f>IFERROR(__xludf.DUMMYFUNCTION("""COMPUTED_VALUE"""),"LA CASA DI ROSA")</f>
        <v>LA CASA DI ROSA</v>
      </c>
      <c r="F57" t="str">
        <f>IFERROR(__xludf.DUMMYFUNCTION("""COMPUTED_VALUE"""),"CINIERO VITO DOMENICO")</f>
        <v>CINIERO VITO DOMENICO</v>
      </c>
      <c r="G57" t="str">
        <f>IFERROR(__xludf.DUMMYFUNCTION("""COMPUTED_VALUE"""),"via spine bianche 8")</f>
        <v>via spine bianche 8</v>
      </c>
      <c r="H57" t="str">
        <f>IFERROR(__xludf.DUMMYFUNCTION("""COMPUTED_VALUE"""),"Matera")</f>
        <v>Matera</v>
      </c>
      <c r="I57" t="str">
        <f>IFERROR(__xludf.DUMMYFUNCTION("""COMPUTED_VALUE"""),"")</f>
        <v/>
      </c>
      <c r="J57" t="str">
        <f>IFERROR(__xludf.DUMMYFUNCTION("""COMPUTED_VALUE"""),"")</f>
        <v/>
      </c>
      <c r="K57" t="str">
        <f>IFERROR(__xludf.DUMMYFUNCTION("""COMPUTED_VALUE"""),"Italy")</f>
        <v>Italy</v>
      </c>
      <c r="L57" t="str">
        <f>IFERROR(__xludf.DUMMYFUNCTION("""COMPUTED_VALUE"""),"")</f>
        <v/>
      </c>
      <c r="M57">
        <f>IFERROR(__xludf.DUMMYFUNCTION("""COMPUTED_VALUE"""),4.0)</f>
        <v>4</v>
      </c>
      <c r="N57">
        <f>IFERROR(__xludf.DUMMYFUNCTION("""COMPUTED_VALUE"""),42335.0)</f>
        <v>42335</v>
      </c>
    </row>
    <row r="58">
      <c r="A58">
        <f>IFERROR(__xludf.DUMMYFUNCTION("""COMPUTED_VALUE"""),352.0)</f>
        <v>352</v>
      </c>
      <c r="B58">
        <f>IFERROR(__xludf.DUMMYFUNCTION("""COMPUTED_VALUE"""),40.662352)</f>
        <v>40.662352</v>
      </c>
      <c r="C58">
        <f>IFERROR(__xludf.DUMMYFUNCTION("""COMPUTED_VALUE"""),16.597222)</f>
        <v>16.597222</v>
      </c>
      <c r="D58" t="str">
        <f>IFERROR(__xludf.DUMMYFUNCTION("""COMPUTED_VALUE"""),"Bed &amp; Breakfast")</f>
        <v>Bed &amp; Breakfast</v>
      </c>
      <c r="E58" t="str">
        <f>IFERROR(__xludf.DUMMYFUNCTION("""COMPUTED_VALUE"""),"LA LOCANDA DI ZI NICOLA")</f>
        <v>LA LOCANDA DI ZI NICOLA</v>
      </c>
      <c r="F58" t="str">
        <f>IFERROR(__xludf.DUMMYFUNCTION("""COMPUTED_VALUE"""),"RAUCCI GIUSEPPE")</f>
        <v>RAUCCI GIUSEPPE</v>
      </c>
      <c r="G58" t="str">
        <f>IFERROR(__xludf.DUMMYFUNCTION("""COMPUTED_VALUE"""),"VIA ANNIBALE DI FRANCIA 9")</f>
        <v>VIA ANNIBALE DI FRANCIA 9</v>
      </c>
      <c r="H58" t="str">
        <f>IFERROR(__xludf.DUMMYFUNCTION("""COMPUTED_VALUE"""),"Matera")</f>
        <v>Matera</v>
      </c>
      <c r="I58">
        <f>IFERROR(__xludf.DUMMYFUNCTION("""COMPUTED_VALUE"""),14.0)</f>
        <v>14</v>
      </c>
      <c r="J58">
        <f>IFERROR(__xludf.DUMMYFUNCTION("""COMPUTED_VALUE"""),349.0)</f>
        <v>349</v>
      </c>
      <c r="K58" t="str">
        <f>IFERROR(__xludf.DUMMYFUNCTION("""COMPUTED_VALUE"""),"Italy")</f>
        <v>Italy</v>
      </c>
      <c r="L58">
        <f>IFERROR(__xludf.DUMMYFUNCTION("""COMPUTED_VALUE"""),1.0)</f>
        <v>1</v>
      </c>
      <c r="M58">
        <f>IFERROR(__xludf.DUMMYFUNCTION("""COMPUTED_VALUE"""),6.0)</f>
        <v>6</v>
      </c>
      <c r="N58">
        <f>IFERROR(__xludf.DUMMYFUNCTION("""COMPUTED_VALUE"""),42464.0)</f>
        <v>42464</v>
      </c>
    </row>
    <row r="59">
      <c r="A59">
        <f>IFERROR(__xludf.DUMMYFUNCTION("""COMPUTED_VALUE"""),353.0)</f>
        <v>353</v>
      </c>
      <c r="B59">
        <f>IFERROR(__xludf.DUMMYFUNCTION("""COMPUTED_VALUE"""),40.669989)</f>
        <v>40.669989</v>
      </c>
      <c r="C59">
        <f>IFERROR(__xludf.DUMMYFUNCTION("""COMPUTED_VALUE"""),16.60884)</f>
        <v>16.60884</v>
      </c>
      <c r="D59" t="str">
        <f>IFERROR(__xludf.DUMMYFUNCTION("""COMPUTED_VALUE"""),"Bed &amp; Breakfast")</f>
        <v>Bed &amp; Breakfast</v>
      </c>
      <c r="E59" t="str">
        <f>IFERROR(__xludf.DUMMYFUNCTION("""COMPUTED_VALUE"""),"LA MANSARDA SUI SASSI")</f>
        <v>LA MANSARDA SUI SASSI</v>
      </c>
      <c r="F59" t="str">
        <f>IFERROR(__xludf.DUMMYFUNCTION("""COMPUTED_VALUE"""),"ANGELA FONTANAROSA")</f>
        <v>ANGELA FONTANAROSA</v>
      </c>
      <c r="G59" t="str">
        <f>IFERROR(__xludf.DUMMYFUNCTION("""COMPUTED_VALUE"""),"VIA SANTA CESAREA 36")</f>
        <v>VIA SANTA CESAREA 36</v>
      </c>
      <c r="H59" t="str">
        <f>IFERROR(__xludf.DUMMYFUNCTION("""COMPUTED_VALUE"""),"Matera")</f>
        <v>Matera</v>
      </c>
      <c r="I59">
        <f>IFERROR(__xludf.DUMMYFUNCTION("""COMPUTED_VALUE"""),159.0)</f>
        <v>159</v>
      </c>
      <c r="J59">
        <f>IFERROR(__xludf.DUMMYFUNCTION("""COMPUTED_VALUE"""),47.0)</f>
        <v>47</v>
      </c>
      <c r="K59" t="str">
        <f>IFERROR(__xludf.DUMMYFUNCTION("""COMPUTED_VALUE"""),"Italy")</f>
        <v>Italy</v>
      </c>
      <c r="L59">
        <f>IFERROR(__xludf.DUMMYFUNCTION("""COMPUTED_VALUE"""),42.0)</f>
        <v>42</v>
      </c>
      <c r="M59">
        <f>IFERROR(__xludf.DUMMYFUNCTION("""COMPUTED_VALUE"""),3.0)</f>
        <v>3</v>
      </c>
      <c r="N59">
        <f>IFERROR(__xludf.DUMMYFUNCTION("""COMPUTED_VALUE"""),42314.0)</f>
        <v>42314</v>
      </c>
    </row>
    <row r="60">
      <c r="A60">
        <f>IFERROR(__xludf.DUMMYFUNCTION("""COMPUTED_VALUE"""),354.0)</f>
        <v>354</v>
      </c>
      <c r="B60">
        <f>IFERROR(__xludf.DUMMYFUNCTION("""COMPUTED_VALUE"""),40.664793)</f>
        <v>40.664793</v>
      </c>
      <c r="C60">
        <f>IFERROR(__xludf.DUMMYFUNCTION("""COMPUTED_VALUE"""),16.611572)</f>
        <v>16.611572</v>
      </c>
      <c r="D60" t="str">
        <f>IFERROR(__xludf.DUMMYFUNCTION("""COMPUTED_VALUE"""),"Bed &amp; Breakfast")</f>
        <v>Bed &amp; Breakfast</v>
      </c>
      <c r="E60" t="str">
        <f>IFERROR(__xludf.DUMMYFUNCTION("""COMPUTED_VALUE"""),"LA PIAZZETTA")</f>
        <v>LA PIAZZETTA</v>
      </c>
      <c r="F60" t="str">
        <f>IFERROR(__xludf.DUMMYFUNCTION("""COMPUTED_VALUE"""),"RAMUNDO GIUSEPPINA")</f>
        <v>RAMUNDO GIUSEPPINA</v>
      </c>
      <c r="G60" t="str">
        <f>IFERROR(__xludf.DUMMYFUNCTION("""COMPUTED_VALUE"""),"San Pietro Caveoso 8")</f>
        <v>San Pietro Caveoso 8</v>
      </c>
      <c r="H60" t="str">
        <f>IFERROR(__xludf.DUMMYFUNCTION("""COMPUTED_VALUE"""),"Matera")</f>
        <v>Matera</v>
      </c>
      <c r="I60" t="str">
        <f>IFERROR(__xludf.DUMMYFUNCTION("""COMPUTED_VALUE"""),"")</f>
        <v/>
      </c>
      <c r="J60" t="str">
        <f>IFERROR(__xludf.DUMMYFUNCTION("""COMPUTED_VALUE"""),"")</f>
        <v/>
      </c>
      <c r="K60" t="str">
        <f>IFERROR(__xludf.DUMMYFUNCTION("""COMPUTED_VALUE"""),"Italy")</f>
        <v>Italy</v>
      </c>
      <c r="L60" t="str">
        <f>IFERROR(__xludf.DUMMYFUNCTION("""COMPUTED_VALUE"""),"")</f>
        <v/>
      </c>
      <c r="M60">
        <f>IFERROR(__xludf.DUMMYFUNCTION("""COMPUTED_VALUE"""),4.0)</f>
        <v>4</v>
      </c>
      <c r="N60">
        <f>IFERROR(__xludf.DUMMYFUNCTION("""COMPUTED_VALUE"""),38937.0)</f>
        <v>38937</v>
      </c>
    </row>
    <row r="61">
      <c r="A61">
        <f>IFERROR(__xludf.DUMMYFUNCTION("""COMPUTED_VALUE"""),356.0)</f>
        <v>356</v>
      </c>
      <c r="B61">
        <f>IFERROR(__xludf.DUMMYFUNCTION("""COMPUTED_VALUE"""),40.6646524)</f>
        <v>40.6646524</v>
      </c>
      <c r="C61">
        <f>IFERROR(__xludf.DUMMYFUNCTION("""COMPUTED_VALUE"""),16.6097362)</f>
        <v>16.6097362</v>
      </c>
      <c r="D61" t="str">
        <f>IFERROR(__xludf.DUMMYFUNCTION("""COMPUTED_VALUE"""),"Bed &amp; Breakfast")</f>
        <v>Bed &amp; Breakfast</v>
      </c>
      <c r="E61" t="str">
        <f>IFERROR(__xludf.DUMMYFUNCTION("""COMPUTED_VALUE"""),"L'ALBERO DI ELIANA")</f>
        <v>L'ALBERO DI ELIANA</v>
      </c>
      <c r="F61" t="str">
        <f>IFERROR(__xludf.DUMMYFUNCTION("""COMPUTED_VALUE"""),"ELIANA VIGGIANI")</f>
        <v>ELIANA VIGGIANI</v>
      </c>
      <c r="G61" t="str">
        <f>IFERROR(__xludf.DUMMYFUNCTION("""COMPUTED_VALUE"""),"GRADONI MUNICIPIO 14")</f>
        <v>GRADONI MUNICIPIO 14</v>
      </c>
      <c r="H61" t="str">
        <f>IFERROR(__xludf.DUMMYFUNCTION("""COMPUTED_VALUE"""),"Matera")</f>
        <v>Matera</v>
      </c>
      <c r="I61">
        <f>IFERROR(__xludf.DUMMYFUNCTION("""COMPUTED_VALUE"""),159.0)</f>
        <v>159</v>
      </c>
      <c r="J61">
        <f>IFERROR(__xludf.DUMMYFUNCTION("""COMPUTED_VALUE"""),1815.0)</f>
        <v>1815</v>
      </c>
      <c r="K61" t="str">
        <f>IFERROR(__xludf.DUMMYFUNCTION("""COMPUTED_VALUE"""),"Italy")</f>
        <v>Italy</v>
      </c>
      <c r="L61">
        <f>IFERROR(__xludf.DUMMYFUNCTION("""COMPUTED_VALUE"""),12.0)</f>
        <v>12</v>
      </c>
      <c r="M61">
        <f>IFERROR(__xludf.DUMMYFUNCTION("""COMPUTED_VALUE"""),4.0)</f>
        <v>4</v>
      </c>
      <c r="N61">
        <f>IFERROR(__xludf.DUMMYFUNCTION("""COMPUTED_VALUE"""),42679.0)</f>
        <v>42679</v>
      </c>
    </row>
    <row r="62">
      <c r="A62">
        <f>IFERROR(__xludf.DUMMYFUNCTION("""COMPUTED_VALUE"""),357.0)</f>
        <v>357</v>
      </c>
      <c r="B62">
        <f>IFERROR(__xludf.DUMMYFUNCTION("""COMPUTED_VALUE"""),40.662543)</f>
        <v>40.662543</v>
      </c>
      <c r="C62">
        <f>IFERROR(__xludf.DUMMYFUNCTION("""COMPUTED_VALUE"""),16.610435)</f>
        <v>16.610435</v>
      </c>
      <c r="D62" t="str">
        <f>IFERROR(__xludf.DUMMYFUNCTION("""COMPUTED_VALUE"""),"Bed &amp; Breakfast")</f>
        <v>Bed &amp; Breakfast</v>
      </c>
      <c r="E62" t="str">
        <f>IFERROR(__xludf.DUMMYFUNCTION("""COMPUTED_VALUE"""),"LANDSCAPE SASSI MATERA")</f>
        <v>LANDSCAPE SASSI MATERA</v>
      </c>
      <c r="F62" t="str">
        <f>IFERROR(__xludf.DUMMYFUNCTION("""COMPUTED_VALUE"""),"CATALDO MONTANARO")</f>
        <v>CATALDO MONTANARO</v>
      </c>
      <c r="G62" t="str">
        <f>IFERROR(__xludf.DUMMYFUNCTION("""COMPUTED_VALUE"""),"VIA CASALNUOVO 173")</f>
        <v>VIA CASALNUOVO 173</v>
      </c>
      <c r="H62" t="str">
        <f>IFERROR(__xludf.DUMMYFUNCTION("""COMPUTED_VALUE"""),"Matera")</f>
        <v>Matera</v>
      </c>
      <c r="I62">
        <f>IFERROR(__xludf.DUMMYFUNCTION("""COMPUTED_VALUE"""),159.0)</f>
        <v>159</v>
      </c>
      <c r="J62">
        <f>IFERROR(__xludf.DUMMYFUNCTION("""COMPUTED_VALUE"""),2496.0)</f>
        <v>2496</v>
      </c>
      <c r="K62" t="str">
        <f>IFERROR(__xludf.DUMMYFUNCTION("""COMPUTED_VALUE"""),"Italy")</f>
        <v>Italy</v>
      </c>
      <c r="L62" t="str">
        <f>IFERROR(__xludf.DUMMYFUNCTION("""COMPUTED_VALUE"""),"")</f>
        <v/>
      </c>
      <c r="M62">
        <f>IFERROR(__xludf.DUMMYFUNCTION("""COMPUTED_VALUE"""),2.0)</f>
        <v>2</v>
      </c>
      <c r="N62">
        <f>IFERROR(__xludf.DUMMYFUNCTION("""COMPUTED_VALUE"""),42353.0)</f>
        <v>42353</v>
      </c>
    </row>
    <row r="63">
      <c r="A63">
        <f>IFERROR(__xludf.DUMMYFUNCTION("""COMPUTED_VALUE"""),358.0)</f>
        <v>358</v>
      </c>
      <c r="B63">
        <f>IFERROR(__xludf.DUMMYFUNCTION("""COMPUTED_VALUE"""),40.67243)</f>
        <v>40.67243</v>
      </c>
      <c r="C63">
        <f>IFERROR(__xludf.DUMMYFUNCTION("""COMPUTED_VALUE"""),16.6013056)</f>
        <v>16.6013056</v>
      </c>
      <c r="D63" t="str">
        <f>IFERROR(__xludf.DUMMYFUNCTION("""COMPUTED_VALUE"""),"Bed &amp; Breakfast")</f>
        <v>Bed &amp; Breakfast</v>
      </c>
      <c r="E63" t="str">
        <f>IFERROR(__xludf.DUMMYFUNCTION("""COMPUTED_VALUE"""),"L'ANGOLINO")</f>
        <v>L'ANGOLINO</v>
      </c>
      <c r="F63" t="str">
        <f>IFERROR(__xludf.DUMMYFUNCTION("""COMPUTED_VALUE"""),"MARAGNO FRANCESCO PAOLO")</f>
        <v>MARAGNO FRANCESCO PAOLO</v>
      </c>
      <c r="G63" t="str">
        <f>IFERROR(__xludf.DUMMYFUNCTION("""COMPUTED_VALUE"""),"VIA DELLA CROCE 43/1")</f>
        <v>VIA DELLA CROCE 43/1</v>
      </c>
      <c r="H63" t="str">
        <f>IFERROR(__xludf.DUMMYFUNCTION("""COMPUTED_VALUE"""),"Matera")</f>
        <v>Matera</v>
      </c>
      <c r="I63">
        <f>IFERROR(__xludf.DUMMYFUNCTION("""COMPUTED_VALUE"""),71.0)</f>
        <v>71</v>
      </c>
      <c r="J63">
        <f>IFERROR(__xludf.DUMMYFUNCTION("""COMPUTED_VALUE"""),857.0)</f>
        <v>857</v>
      </c>
      <c r="K63" t="str">
        <f>IFERROR(__xludf.DUMMYFUNCTION("""COMPUTED_VALUE"""),"Italy")</f>
        <v>Italy</v>
      </c>
      <c r="L63">
        <f>IFERROR(__xludf.DUMMYFUNCTION("""COMPUTED_VALUE"""),13.0)</f>
        <v>13</v>
      </c>
      <c r="M63">
        <f>IFERROR(__xludf.DUMMYFUNCTION("""COMPUTED_VALUE"""),2.0)</f>
        <v>2</v>
      </c>
      <c r="N63">
        <f>IFERROR(__xludf.DUMMYFUNCTION("""COMPUTED_VALUE"""),39636.0)</f>
        <v>39636</v>
      </c>
    </row>
    <row r="64">
      <c r="A64">
        <f>IFERROR(__xludf.DUMMYFUNCTION("""COMPUTED_VALUE"""),359.0)</f>
        <v>359</v>
      </c>
      <c r="B64">
        <f>IFERROR(__xludf.DUMMYFUNCTION("""COMPUTED_VALUE"""),40.665985)</f>
        <v>40.665985</v>
      </c>
      <c r="C64">
        <f>IFERROR(__xludf.DUMMYFUNCTION("""COMPUTED_VALUE"""),16.610805)</f>
        <v>16.610805</v>
      </c>
      <c r="D64" t="str">
        <f>IFERROR(__xludf.DUMMYFUNCTION("""COMPUTED_VALUE"""),"Bed &amp; Breakfast")</f>
        <v>Bed &amp; Breakfast</v>
      </c>
      <c r="E64" t="str">
        <f>IFERROR(__xludf.DUMMYFUNCTION("""COMPUTED_VALUE"""),"L'ANTICA CIVITA")</f>
        <v>L'ANTICA CIVITA</v>
      </c>
      <c r="F64" t="str">
        <f>IFERROR(__xludf.DUMMYFUNCTION("""COMPUTED_VALUE"""),"GIUSEPPE SANTOCHIRICO")</f>
        <v>GIUSEPPE SANTOCHIRICO</v>
      </c>
      <c r="G64" t="str">
        <f>IFERROR(__xludf.DUMMYFUNCTION("""COMPUTED_VALUE"""),"RECINTO CASTELVECCHIO 5")</f>
        <v>RECINTO CASTELVECCHIO 5</v>
      </c>
      <c r="H64" t="str">
        <f>IFERROR(__xludf.DUMMYFUNCTION("""COMPUTED_VALUE"""),"Matera")</f>
        <v>Matera</v>
      </c>
      <c r="I64">
        <f>IFERROR(__xludf.DUMMYFUNCTION("""COMPUTED_VALUE"""),159.0)</f>
        <v>159</v>
      </c>
      <c r="J64">
        <f>IFERROR(__xludf.DUMMYFUNCTION("""COMPUTED_VALUE"""),1522.0)</f>
        <v>1522</v>
      </c>
      <c r="K64" t="str">
        <f>IFERROR(__xludf.DUMMYFUNCTION("""COMPUTED_VALUE"""),"Italy")</f>
        <v>Italy</v>
      </c>
      <c r="L64">
        <f>IFERROR(__xludf.DUMMYFUNCTION("""COMPUTED_VALUE"""),4.0)</f>
        <v>4</v>
      </c>
      <c r="M64">
        <f>IFERROR(__xludf.DUMMYFUNCTION("""COMPUTED_VALUE"""),4.0)</f>
        <v>4</v>
      </c>
      <c r="N64">
        <f>IFERROR(__xludf.DUMMYFUNCTION("""COMPUTED_VALUE"""),42524.0)</f>
        <v>42524</v>
      </c>
    </row>
    <row r="65">
      <c r="A65">
        <f>IFERROR(__xludf.DUMMYFUNCTION("""COMPUTED_VALUE"""),360.0)</f>
        <v>360</v>
      </c>
      <c r="B65">
        <f>IFERROR(__xludf.DUMMYFUNCTION("""COMPUTED_VALUE"""),40.666087)</f>
        <v>40.666087</v>
      </c>
      <c r="C65">
        <f>IFERROR(__xludf.DUMMYFUNCTION("""COMPUTED_VALUE"""),16.609681)</f>
        <v>16.609681</v>
      </c>
      <c r="D65" t="str">
        <f>IFERROR(__xludf.DUMMYFUNCTION("""COMPUTED_VALUE"""),"Bed &amp; Breakfast")</f>
        <v>Bed &amp; Breakfast</v>
      </c>
      <c r="E65" t="str">
        <f>IFERROR(__xludf.DUMMYFUNCTION("""COMPUTED_VALUE"""),"L'ARTURO")</f>
        <v>L'ARTURO</v>
      </c>
      <c r="F65" t="str">
        <f>IFERROR(__xludf.DUMMYFUNCTION("""COMPUTED_VALUE"""),"MONICA CELESTE LASCARO")</f>
        <v>MONICA CELESTE LASCARO</v>
      </c>
      <c r="G65" t="str">
        <f>IFERROR(__xludf.DUMMYFUNCTION("""COMPUTED_VALUE"""),"VIA TRE CORONE  9/10")</f>
        <v>VIA TRE CORONE  9/10</v>
      </c>
      <c r="H65" t="str">
        <f>IFERROR(__xludf.DUMMYFUNCTION("""COMPUTED_VALUE"""),"Matera")</f>
        <v>Matera</v>
      </c>
      <c r="I65">
        <f>IFERROR(__xludf.DUMMYFUNCTION("""COMPUTED_VALUE"""),159.0)</f>
        <v>159</v>
      </c>
      <c r="J65">
        <f>IFERROR(__xludf.DUMMYFUNCTION("""COMPUTED_VALUE"""),804.0)</f>
        <v>804</v>
      </c>
      <c r="K65" t="str">
        <f>IFERROR(__xludf.DUMMYFUNCTION("""COMPUTED_VALUE"""),"Italy")</f>
        <v>Italy</v>
      </c>
      <c r="L65">
        <f>IFERROR(__xludf.DUMMYFUNCTION("""COMPUTED_VALUE"""),1.0)</f>
        <v>1</v>
      </c>
      <c r="M65">
        <f>IFERROR(__xludf.DUMMYFUNCTION("""COMPUTED_VALUE"""),6.0)</f>
        <v>6</v>
      </c>
      <c r="N65">
        <f>IFERROR(__xludf.DUMMYFUNCTION("""COMPUTED_VALUE"""),43118.0)</f>
        <v>43118</v>
      </c>
    </row>
    <row r="66">
      <c r="A66">
        <f>IFERROR(__xludf.DUMMYFUNCTION("""COMPUTED_VALUE"""),361.0)</f>
        <v>361</v>
      </c>
      <c r="B66">
        <f>IFERROR(__xludf.DUMMYFUNCTION("""COMPUTED_VALUE"""),40.6674503)</f>
        <v>40.6674503</v>
      </c>
      <c r="C66">
        <f>IFERROR(__xludf.DUMMYFUNCTION("""COMPUTED_VALUE"""),16.6012834)</f>
        <v>16.6012834</v>
      </c>
      <c r="D66" t="str">
        <f>IFERROR(__xludf.DUMMYFUNCTION("""COMPUTED_VALUE"""),"Bed &amp; Breakfast")</f>
        <v>Bed &amp; Breakfast</v>
      </c>
      <c r="E66" t="str">
        <f>IFERROR(__xludf.DUMMYFUNCTION("""COMPUTED_VALUE"""),"L'ATTICO DEL CENTRO MATERA")</f>
        <v>L'ATTICO DEL CENTRO MATERA</v>
      </c>
      <c r="F66" t="str">
        <f>IFERROR(__xludf.DUMMYFUNCTION("""COMPUTED_VALUE"""),"IMMACOLATA NICOLETTI")</f>
        <v>IMMACOLATA NICOLETTI</v>
      </c>
      <c r="G66" t="str">
        <f>IFERROR(__xludf.DUMMYFUNCTION("""COMPUTED_VALUE"""),"VIALE ALDO MORO 10")</f>
        <v>VIALE ALDO MORO 10</v>
      </c>
      <c r="H66" t="str">
        <f>IFERROR(__xludf.DUMMYFUNCTION("""COMPUTED_VALUE"""),"Matera")</f>
        <v>Matera</v>
      </c>
      <c r="I66">
        <f>IFERROR(__xludf.DUMMYFUNCTION("""COMPUTED_VALUE"""),71.0)</f>
        <v>71</v>
      </c>
      <c r="J66">
        <f>IFERROR(__xludf.DUMMYFUNCTION("""COMPUTED_VALUE"""),1470.0)</f>
        <v>1470</v>
      </c>
      <c r="K66" t="str">
        <f>IFERROR(__xludf.DUMMYFUNCTION("""COMPUTED_VALUE"""),"Italy")</f>
        <v>Italy</v>
      </c>
      <c r="L66">
        <f>IFERROR(__xludf.DUMMYFUNCTION("""COMPUTED_VALUE"""),30.0)</f>
        <v>30</v>
      </c>
      <c r="M66">
        <f>IFERROR(__xludf.DUMMYFUNCTION("""COMPUTED_VALUE"""),2.0)</f>
        <v>2</v>
      </c>
      <c r="N66">
        <f>IFERROR(__xludf.DUMMYFUNCTION("""COMPUTED_VALUE"""),42409.0)</f>
        <v>42409</v>
      </c>
    </row>
    <row r="67">
      <c r="A67">
        <f>IFERROR(__xludf.DUMMYFUNCTION("""COMPUTED_VALUE"""),362.0)</f>
        <v>362</v>
      </c>
      <c r="B67">
        <f>IFERROR(__xludf.DUMMYFUNCTION("""COMPUTED_VALUE"""),40.6596574)</f>
        <v>40.6596574</v>
      </c>
      <c r="C67">
        <f>IFERROR(__xludf.DUMMYFUNCTION("""COMPUTED_VALUE"""),16.6136478)</f>
        <v>16.6136478</v>
      </c>
      <c r="D67" t="str">
        <f>IFERROR(__xludf.DUMMYFUNCTION("""COMPUTED_VALUE"""),"Bed &amp; Breakfast")</f>
        <v>Bed &amp; Breakfast</v>
      </c>
      <c r="E67" t="str">
        <f>IFERROR(__xludf.DUMMYFUNCTION("""COMPUTED_VALUE"""),"LE ALI DI ANGELO")</f>
        <v>LE ALI DI ANGELO</v>
      </c>
      <c r="F67" t="str">
        <f>IFERROR(__xludf.DUMMYFUNCTION("""COMPUTED_VALUE"""),"PAGLIEI ROSALIA")</f>
        <v>PAGLIEI ROSALIA</v>
      </c>
      <c r="G67" t="str">
        <f>IFERROR(__xludf.DUMMYFUNCTION("""COMPUTED_VALUE"""),"VIA LUCANA 282")</f>
        <v>VIA LUCANA 282</v>
      </c>
      <c r="H67" t="str">
        <f>IFERROR(__xludf.DUMMYFUNCTION("""COMPUTED_VALUE"""),"Matera")</f>
        <v>Matera</v>
      </c>
      <c r="I67">
        <f>IFERROR(__xludf.DUMMYFUNCTION("""COMPUTED_VALUE"""),103.0)</f>
        <v>103</v>
      </c>
      <c r="J67">
        <f>IFERROR(__xludf.DUMMYFUNCTION("""COMPUTED_VALUE"""),338.0)</f>
        <v>338</v>
      </c>
      <c r="K67" t="str">
        <f>IFERROR(__xludf.DUMMYFUNCTION("""COMPUTED_VALUE"""),"Italy")</f>
        <v>Italy</v>
      </c>
      <c r="L67" t="str">
        <f>IFERROR(__xludf.DUMMYFUNCTION("""COMPUTED_VALUE"""),"")</f>
        <v/>
      </c>
      <c r="M67">
        <f>IFERROR(__xludf.DUMMYFUNCTION("""COMPUTED_VALUE"""),4.0)</f>
        <v>4</v>
      </c>
      <c r="N67">
        <f>IFERROR(__xludf.DUMMYFUNCTION("""COMPUTED_VALUE"""),42207.0)</f>
        <v>42207</v>
      </c>
    </row>
    <row r="68">
      <c r="A68">
        <f>IFERROR(__xludf.DUMMYFUNCTION("""COMPUTED_VALUE"""),363.0)</f>
        <v>363</v>
      </c>
      <c r="B68">
        <f>IFERROR(__xludf.DUMMYFUNCTION("""COMPUTED_VALUE"""),40.646172)</f>
        <v>40.646172</v>
      </c>
      <c r="C68">
        <f>IFERROR(__xludf.DUMMYFUNCTION("""COMPUTED_VALUE"""),16.618913)</f>
        <v>16.618913</v>
      </c>
      <c r="D68" t="str">
        <f>IFERROR(__xludf.DUMMYFUNCTION("""COMPUTED_VALUE"""),"Bed &amp; Breakfast")</f>
        <v>Bed &amp; Breakfast</v>
      </c>
      <c r="E68" t="str">
        <f>IFERROR(__xludf.DUMMYFUNCTION("""COMPUTED_VALUE"""),"LE SORBOLE")</f>
        <v>LE SORBOLE</v>
      </c>
      <c r="F68" t="str">
        <f>IFERROR(__xludf.DUMMYFUNCTION("""COMPUTED_VALUE"""),"DUNI ANGELA RAFFAELLA")</f>
        <v>DUNI ANGELA RAFFAELLA</v>
      </c>
      <c r="G68" t="str">
        <f>IFERROR(__xludf.DUMMYFUNCTION("""COMPUTED_VALUE"""),"via Manicone 17")</f>
        <v>via Manicone 17</v>
      </c>
      <c r="H68" t="str">
        <f>IFERROR(__xludf.DUMMYFUNCTION("""COMPUTED_VALUE"""),"Matera")</f>
        <v>Matera</v>
      </c>
      <c r="I68">
        <f>IFERROR(__xludf.DUMMYFUNCTION("""COMPUTED_VALUE"""),106.0)</f>
        <v>106</v>
      </c>
      <c r="J68">
        <f>IFERROR(__xludf.DUMMYFUNCTION("""COMPUTED_VALUE"""),876.0)</f>
        <v>876</v>
      </c>
      <c r="K68" t="str">
        <f>IFERROR(__xludf.DUMMYFUNCTION("""COMPUTED_VALUE"""),"Italy")</f>
        <v>Italy</v>
      </c>
      <c r="L68">
        <f>IFERROR(__xludf.DUMMYFUNCTION("""COMPUTED_VALUE"""),3.0)</f>
        <v>3</v>
      </c>
      <c r="M68">
        <f>IFERROR(__xludf.DUMMYFUNCTION("""COMPUTED_VALUE"""),6.0)</f>
        <v>6</v>
      </c>
      <c r="N68">
        <f>IFERROR(__xludf.DUMMYFUNCTION("""COMPUTED_VALUE"""),40221.0)</f>
        <v>40221</v>
      </c>
    </row>
    <row r="69">
      <c r="A69">
        <f>IFERROR(__xludf.DUMMYFUNCTION("""COMPUTED_VALUE"""),365.0)</f>
        <v>365</v>
      </c>
      <c r="B69">
        <f>IFERROR(__xludf.DUMMYFUNCTION("""COMPUTED_VALUE"""),40.6616204)</f>
        <v>40.6616204</v>
      </c>
      <c r="C69">
        <f>IFERROR(__xludf.DUMMYFUNCTION("""COMPUTED_VALUE"""),16.607579)</f>
        <v>16.607579</v>
      </c>
      <c r="D69" t="str">
        <f>IFERROR(__xludf.DUMMYFUNCTION("""COMPUTED_VALUE"""),"Bed &amp; Breakfast")</f>
        <v>Bed &amp; Breakfast</v>
      </c>
      <c r="E69" t="str">
        <f>IFERROR(__xludf.DUMMYFUNCTION("""COMPUTED_VALUE"""),"L'EDERA")</f>
        <v>L'EDERA</v>
      </c>
      <c r="F69" t="str">
        <f>IFERROR(__xludf.DUMMYFUNCTION("""COMPUTED_VALUE"""),"TOMMASO FELICETTI")</f>
        <v>TOMMASO FELICETTI</v>
      </c>
      <c r="G69" t="str">
        <f>IFERROR(__xludf.DUMMYFUNCTION("""COMPUTED_VALUE"""),"VIA CAROPRESO 10F")</f>
        <v>VIA CAROPRESO 10F</v>
      </c>
      <c r="H69" t="str">
        <f>IFERROR(__xludf.DUMMYFUNCTION("""COMPUTED_VALUE"""),"Matera")</f>
        <v>Matera</v>
      </c>
      <c r="I69">
        <f>IFERROR(__xludf.DUMMYFUNCTION("""COMPUTED_VALUE"""),103.0)</f>
        <v>103</v>
      </c>
      <c r="J69">
        <f>IFERROR(__xludf.DUMMYFUNCTION("""COMPUTED_VALUE"""),884.0)</f>
        <v>884</v>
      </c>
      <c r="K69" t="str">
        <f>IFERROR(__xludf.DUMMYFUNCTION("""COMPUTED_VALUE"""),"Italy")</f>
        <v>Italy</v>
      </c>
      <c r="L69">
        <f>IFERROR(__xludf.DUMMYFUNCTION("""COMPUTED_VALUE"""),4.0)</f>
        <v>4</v>
      </c>
      <c r="M69">
        <f>IFERROR(__xludf.DUMMYFUNCTION("""COMPUTED_VALUE"""),5.0)</f>
        <v>5</v>
      </c>
      <c r="N69">
        <f>IFERROR(__xludf.DUMMYFUNCTION("""COMPUTED_VALUE"""),42503.0)</f>
        <v>42503</v>
      </c>
    </row>
    <row r="70">
      <c r="A70">
        <f>IFERROR(__xludf.DUMMYFUNCTION("""COMPUTED_VALUE"""),366.0)</f>
        <v>366</v>
      </c>
      <c r="B70">
        <f>IFERROR(__xludf.DUMMYFUNCTION("""COMPUTED_VALUE"""),40.642495)</f>
        <v>40.642495</v>
      </c>
      <c r="C70">
        <f>IFERROR(__xludf.DUMMYFUNCTION("""COMPUTED_VALUE"""),16.62292)</f>
        <v>16.62292</v>
      </c>
      <c r="D70" t="str">
        <f>IFERROR(__xludf.DUMMYFUNCTION("""COMPUTED_VALUE"""),"Bed &amp; Breakfast")</f>
        <v>Bed &amp; Breakfast</v>
      </c>
      <c r="E70" t="str">
        <f>IFERROR(__xludf.DUMMYFUNCTION("""COMPUTED_VALUE"""),"LO SPEZIALE")</f>
        <v>LO SPEZIALE</v>
      </c>
      <c r="F70" t="str">
        <f>IFERROR(__xludf.DUMMYFUNCTION("""COMPUTED_VALUE"""),"VENTURA NICOLA")</f>
        <v>VENTURA NICOLA</v>
      </c>
      <c r="G70" t="str">
        <f>IFERROR(__xludf.DUMMYFUNCTION("""COMPUTED_VALUE"""),"VIA DELL'ARIETE 13")</f>
        <v>VIA DELL'ARIETE 13</v>
      </c>
      <c r="H70" t="str">
        <f>IFERROR(__xludf.DUMMYFUNCTION("""COMPUTED_VALUE"""),"Matera")</f>
        <v>Matera</v>
      </c>
      <c r="I70">
        <f>IFERROR(__xludf.DUMMYFUNCTION("""COMPUTED_VALUE"""),114.0)</f>
        <v>114</v>
      </c>
      <c r="J70">
        <f>IFERROR(__xludf.DUMMYFUNCTION("""COMPUTED_VALUE"""),854.0)</f>
        <v>854</v>
      </c>
      <c r="K70" t="str">
        <f>IFERROR(__xludf.DUMMYFUNCTION("""COMPUTED_VALUE"""),"Italy")</f>
        <v>Italy</v>
      </c>
      <c r="L70">
        <f>IFERROR(__xludf.DUMMYFUNCTION("""COMPUTED_VALUE"""),5.0)</f>
        <v>5</v>
      </c>
      <c r="M70">
        <f>IFERROR(__xludf.DUMMYFUNCTION("""COMPUTED_VALUE"""),3.0)</f>
        <v>3</v>
      </c>
      <c r="N70">
        <f>IFERROR(__xludf.DUMMYFUNCTION("""COMPUTED_VALUE"""),42320.0)</f>
        <v>42320</v>
      </c>
    </row>
    <row r="71">
      <c r="A71">
        <f>IFERROR(__xludf.DUMMYFUNCTION("""COMPUTED_VALUE"""),367.0)</f>
        <v>367</v>
      </c>
      <c r="B71">
        <f>IFERROR(__xludf.DUMMYFUNCTION("""COMPUTED_VALUE"""),40.6659269)</f>
        <v>40.6659269</v>
      </c>
      <c r="C71">
        <f>IFERROR(__xludf.DUMMYFUNCTION("""COMPUTED_VALUE"""),16.6074773)</f>
        <v>16.6074773</v>
      </c>
      <c r="D71" t="str">
        <f>IFERROR(__xludf.DUMMYFUNCTION("""COMPUTED_VALUE"""),"Bed &amp; Breakfast")</f>
        <v>Bed &amp; Breakfast</v>
      </c>
      <c r="E71" t="str">
        <f>IFERROR(__xludf.DUMMYFUNCTION("""COMPUTED_VALUE"""),"LO STRANIERO")</f>
        <v>LO STRANIERO</v>
      </c>
      <c r="F71" t="str">
        <f>IFERROR(__xludf.DUMMYFUNCTION("""COMPUTED_VALUE"""),"D'AMBROSIO TERESA MARIA")</f>
        <v>D'AMBROSIO TERESA MARIA</v>
      </c>
      <c r="G71" t="str">
        <f>IFERROR(__xludf.DUMMYFUNCTION("""COMPUTED_VALUE"""),"VIA DEL CORSO 17BIS")</f>
        <v>VIA DEL CORSO 17BIS</v>
      </c>
      <c r="H71" t="str">
        <f>IFERROR(__xludf.DUMMYFUNCTION("""COMPUTED_VALUE"""),"Matera")</f>
        <v>Matera</v>
      </c>
      <c r="I71">
        <f>IFERROR(__xludf.DUMMYFUNCTION("""COMPUTED_VALUE"""),159.0)</f>
        <v>159</v>
      </c>
      <c r="J71">
        <f>IFERROR(__xludf.DUMMYFUNCTION("""COMPUTED_VALUE"""),2685.0)</f>
        <v>2685</v>
      </c>
      <c r="K71" t="str">
        <f>IFERROR(__xludf.DUMMYFUNCTION("""COMPUTED_VALUE"""),"Italy")</f>
        <v>Italy</v>
      </c>
      <c r="L71">
        <f>IFERROR(__xludf.DUMMYFUNCTION("""COMPUTED_VALUE"""),49.0)</f>
        <v>49</v>
      </c>
      <c r="M71">
        <f>IFERROR(__xludf.DUMMYFUNCTION("""COMPUTED_VALUE"""),6.0)</f>
        <v>6</v>
      </c>
      <c r="N71">
        <f>IFERROR(__xludf.DUMMYFUNCTION("""COMPUTED_VALUE"""),42184.0)</f>
        <v>42184</v>
      </c>
    </row>
    <row r="72">
      <c r="A72">
        <f>IFERROR(__xludf.DUMMYFUNCTION("""COMPUTED_VALUE"""),368.0)</f>
        <v>368</v>
      </c>
      <c r="B72">
        <f>IFERROR(__xludf.DUMMYFUNCTION("""COMPUTED_VALUE"""),40.668078)</f>
        <v>40.668078</v>
      </c>
      <c r="C72">
        <f>IFERROR(__xludf.DUMMYFUNCTION("""COMPUTED_VALUE"""),16.6052844)</f>
        <v>16.6052844</v>
      </c>
      <c r="D72" t="str">
        <f>IFERROR(__xludf.DUMMYFUNCTION("""COMPUTED_VALUE"""),"Bed &amp; Breakfast")</f>
        <v>Bed &amp; Breakfast</v>
      </c>
      <c r="E72" t="str">
        <f>IFERROR(__xludf.DUMMYFUNCTION("""COMPUTED_VALUE"""),"LUCANA 22")</f>
        <v>LUCANA 22</v>
      </c>
      <c r="F72" t="str">
        <f>IFERROR(__xludf.DUMMYFUNCTION("""COMPUTED_VALUE"""),"CATOGGIO ANGELO MARIA GIOVANNI")</f>
        <v>CATOGGIO ANGELO MARIA GIOVANNI</v>
      </c>
      <c r="G72" t="str">
        <f>IFERROR(__xludf.DUMMYFUNCTION("""COMPUTED_VALUE"""),"VIA LUCANA 22")</f>
        <v>VIA LUCANA 22</v>
      </c>
      <c r="H72" t="str">
        <f>IFERROR(__xludf.DUMMYFUNCTION("""COMPUTED_VALUE"""),"Matera")</f>
        <v>Matera</v>
      </c>
      <c r="I72">
        <f>IFERROR(__xludf.DUMMYFUNCTION("""COMPUTED_VALUE"""),159.0)</f>
        <v>159</v>
      </c>
      <c r="J72">
        <f>IFERROR(__xludf.DUMMYFUNCTION("""COMPUTED_VALUE"""),3765.0)</f>
        <v>3765</v>
      </c>
      <c r="K72" t="str">
        <f>IFERROR(__xludf.DUMMYFUNCTION("""COMPUTED_VALUE"""),"Italy")</f>
        <v>Italy</v>
      </c>
      <c r="L72">
        <f>IFERROR(__xludf.DUMMYFUNCTION("""COMPUTED_VALUE"""),12.0)</f>
        <v>12</v>
      </c>
      <c r="M72">
        <f>IFERROR(__xludf.DUMMYFUNCTION("""COMPUTED_VALUE"""),6.0)</f>
        <v>6</v>
      </c>
      <c r="N72">
        <f>IFERROR(__xludf.DUMMYFUNCTION("""COMPUTED_VALUE"""),42340.0)</f>
        <v>42340</v>
      </c>
    </row>
    <row r="73">
      <c r="A73">
        <f>IFERROR(__xludf.DUMMYFUNCTION("""COMPUTED_VALUE"""),369.0)</f>
        <v>369</v>
      </c>
      <c r="B73">
        <f>IFERROR(__xludf.DUMMYFUNCTION("""COMPUTED_VALUE"""),40.669234)</f>
        <v>40.669234</v>
      </c>
      <c r="C73">
        <f>IFERROR(__xludf.DUMMYFUNCTION("""COMPUTED_VALUE"""),16.607573)</f>
        <v>16.607573</v>
      </c>
      <c r="D73" t="str">
        <f>IFERROR(__xludf.DUMMYFUNCTION("""COMPUTED_VALUE"""),"Bed &amp; Breakfast")</f>
        <v>Bed &amp; Breakfast</v>
      </c>
      <c r="E73" t="str">
        <f>IFERROR(__xludf.DUMMYFUNCTION("""COMPUTED_VALUE"""),"MARGOT")</f>
        <v>MARGOT</v>
      </c>
      <c r="F73" t="str">
        <f>IFERROR(__xludf.DUMMYFUNCTION("""COMPUTED_VALUE"""),"D'ANZI MARGHERITA")</f>
        <v>D'ANZI MARGHERITA</v>
      </c>
      <c r="G73" t="str">
        <f>IFERROR(__xludf.DUMMYFUNCTION("""COMPUTED_VALUE"""),"VIA T. STIGLIANI 32")</f>
        <v>VIA T. STIGLIANI 32</v>
      </c>
      <c r="H73" t="str">
        <f>IFERROR(__xludf.DUMMYFUNCTION("""COMPUTED_VALUE"""),"Matera")</f>
        <v>Matera</v>
      </c>
      <c r="I73">
        <f>IFERROR(__xludf.DUMMYFUNCTION("""COMPUTED_VALUE"""),159.0)</f>
        <v>159</v>
      </c>
      <c r="J73">
        <f>IFERROR(__xludf.DUMMYFUNCTION("""COMPUTED_VALUE"""),3453.0)</f>
        <v>3453</v>
      </c>
      <c r="K73" t="str">
        <f>IFERROR(__xludf.DUMMYFUNCTION("""COMPUTED_VALUE"""),"Italy")</f>
        <v>Italy</v>
      </c>
      <c r="L73">
        <f>IFERROR(__xludf.DUMMYFUNCTION("""COMPUTED_VALUE"""),23.0)</f>
        <v>23</v>
      </c>
      <c r="M73">
        <f>IFERROR(__xludf.DUMMYFUNCTION("""COMPUTED_VALUE"""),8.0)</f>
        <v>8</v>
      </c>
      <c r="N73">
        <f>IFERROR(__xludf.DUMMYFUNCTION("""COMPUTED_VALUE"""),42465.0)</f>
        <v>42465</v>
      </c>
    </row>
    <row r="74">
      <c r="A74">
        <f>IFERROR(__xludf.DUMMYFUNCTION("""COMPUTED_VALUE"""),370.0)</f>
        <v>370</v>
      </c>
      <c r="B74">
        <f>IFERROR(__xludf.DUMMYFUNCTION("""COMPUTED_VALUE"""),40.6628731)</f>
        <v>40.6628731</v>
      </c>
      <c r="C74">
        <f>IFERROR(__xludf.DUMMYFUNCTION("""COMPUTED_VALUE"""),16.6081203)</f>
        <v>16.6081203</v>
      </c>
      <c r="D74" t="str">
        <f>IFERROR(__xludf.DUMMYFUNCTION("""COMPUTED_VALUE"""),"Bed &amp; Breakfast")</f>
        <v>Bed &amp; Breakfast</v>
      </c>
      <c r="E74" t="str">
        <f>IFERROR(__xludf.DUMMYFUNCTION("""COMPUTED_VALUE"""),"MARISOL")</f>
        <v>MARISOL</v>
      </c>
      <c r="F74" t="str">
        <f>IFERROR(__xludf.DUMMYFUNCTION("""COMPUTED_VALUE"""),"CHIRONNE MARIA ANTONIA")</f>
        <v>CHIRONNE MARIA ANTONIA</v>
      </c>
      <c r="G74" t="str">
        <f>IFERROR(__xludf.DUMMYFUNCTION("""COMPUTED_VALUE"""),"VIA P. VENA 74")</f>
        <v>VIA P. VENA 74</v>
      </c>
      <c r="H74" t="str">
        <f>IFERROR(__xludf.DUMMYFUNCTION("""COMPUTED_VALUE"""),"Matera")</f>
        <v>Matera</v>
      </c>
      <c r="I74">
        <f>IFERROR(__xludf.DUMMYFUNCTION("""COMPUTED_VALUE"""),103.0)</f>
        <v>103</v>
      </c>
      <c r="J74">
        <f>IFERROR(__xludf.DUMMYFUNCTION("""COMPUTED_VALUE"""),655.0)</f>
        <v>655</v>
      </c>
      <c r="K74" t="str">
        <f>IFERROR(__xludf.DUMMYFUNCTION("""COMPUTED_VALUE"""),"Italy")</f>
        <v>Italy</v>
      </c>
      <c r="L74">
        <f>IFERROR(__xludf.DUMMYFUNCTION("""COMPUTED_VALUE"""),5.0)</f>
        <v>5</v>
      </c>
      <c r="M74">
        <f>IFERROR(__xludf.DUMMYFUNCTION("""COMPUTED_VALUE"""),4.0)</f>
        <v>4</v>
      </c>
      <c r="N74">
        <f>IFERROR(__xludf.DUMMYFUNCTION("""COMPUTED_VALUE"""),42527.0)</f>
        <v>42527</v>
      </c>
    </row>
    <row r="75">
      <c r="A75">
        <f>IFERROR(__xludf.DUMMYFUNCTION("""COMPUTED_VALUE"""),371.0)</f>
        <v>371</v>
      </c>
      <c r="B75">
        <f>IFERROR(__xludf.DUMMYFUNCTION("""COMPUTED_VALUE"""),40.715046)</f>
        <v>40.715046</v>
      </c>
      <c r="C75">
        <f>IFERROR(__xludf.DUMMYFUNCTION("""COMPUTED_VALUE"""),16.516131)</f>
        <v>16.516131</v>
      </c>
      <c r="D75" t="str">
        <f>IFERROR(__xludf.DUMMYFUNCTION("""COMPUTED_VALUE"""),"Bed &amp; Breakfast")</f>
        <v>Bed &amp; Breakfast</v>
      </c>
      <c r="E75" t="str">
        <f>IFERROR(__xludf.DUMMYFUNCTION("""COMPUTED_VALUE"""),"MASSERIA LA FIORITA")</f>
        <v>MASSERIA LA FIORITA</v>
      </c>
      <c r="F75" t="str">
        <f>IFERROR(__xludf.DUMMYFUNCTION("""COMPUTED_VALUE"""),"CASTORO GIUSEPPE")</f>
        <v>CASTORO GIUSEPPE</v>
      </c>
      <c r="G75" t="str">
        <f>IFERROR(__xludf.DUMMYFUNCTION("""COMPUTED_VALUE"""),"CONTRADA MARRONI  snc")</f>
        <v>CONTRADA MARRONI  snc</v>
      </c>
      <c r="H75" t="str">
        <f>IFERROR(__xludf.DUMMYFUNCTION("""COMPUTED_VALUE"""),"Matera")</f>
        <v>Matera</v>
      </c>
      <c r="I75">
        <f>IFERROR(__xludf.DUMMYFUNCTION("""COMPUTED_VALUE"""),24.0)</f>
        <v>24</v>
      </c>
      <c r="J75">
        <f>IFERROR(__xludf.DUMMYFUNCTION("""COMPUTED_VALUE"""),398.0)</f>
        <v>398</v>
      </c>
      <c r="K75" t="str">
        <f>IFERROR(__xludf.DUMMYFUNCTION("""COMPUTED_VALUE"""),"Italy")</f>
        <v>Italy</v>
      </c>
      <c r="L75">
        <f>IFERROR(__xludf.DUMMYFUNCTION("""COMPUTED_VALUE"""),10.0)</f>
        <v>10</v>
      </c>
      <c r="M75">
        <f>IFERROR(__xludf.DUMMYFUNCTION("""COMPUTED_VALUE"""),4.0)</f>
        <v>4</v>
      </c>
      <c r="N75">
        <f>IFERROR(__xludf.DUMMYFUNCTION("""COMPUTED_VALUE"""),42503.0)</f>
        <v>42503</v>
      </c>
    </row>
    <row r="76">
      <c r="A76">
        <f>IFERROR(__xludf.DUMMYFUNCTION("""COMPUTED_VALUE"""),372.0)</f>
        <v>372</v>
      </c>
      <c r="B76">
        <f>IFERROR(__xludf.DUMMYFUNCTION("""COMPUTED_VALUE"""),40.6591175)</f>
        <v>40.6591175</v>
      </c>
      <c r="C76">
        <f>IFERROR(__xludf.DUMMYFUNCTION("""COMPUTED_VALUE"""),16.6147381)</f>
        <v>16.6147381</v>
      </c>
      <c r="D76" t="str">
        <f>IFERROR(__xludf.DUMMYFUNCTION("""COMPUTED_VALUE"""),"Bed &amp; Breakfast")</f>
        <v>Bed &amp; Breakfast</v>
      </c>
      <c r="E76" t="str">
        <f>IFERROR(__xludf.DUMMYFUNCTION("""COMPUTED_VALUE"""),"MATERA RESIDENCE")</f>
        <v>MATERA RESIDENCE</v>
      </c>
      <c r="F76" t="str">
        <f>IFERROR(__xludf.DUMMYFUNCTION("""COMPUTED_VALUE"""),"POMPILIO GAETANO")</f>
        <v>POMPILIO GAETANO</v>
      </c>
      <c r="G76" t="str">
        <f>IFERROR(__xludf.DUMMYFUNCTION("""COMPUTED_VALUE"""),"via lucana 295")</f>
        <v>via lucana 295</v>
      </c>
      <c r="H76" t="str">
        <f>IFERROR(__xludf.DUMMYFUNCTION("""COMPUTED_VALUE"""),"Matera")</f>
        <v>Matera</v>
      </c>
      <c r="I76">
        <f>IFERROR(__xludf.DUMMYFUNCTION("""COMPUTED_VALUE"""),159.0)</f>
        <v>159</v>
      </c>
      <c r="J76">
        <f>IFERROR(__xludf.DUMMYFUNCTION("""COMPUTED_VALUE"""),4004.0)</f>
        <v>4004</v>
      </c>
      <c r="K76" t="str">
        <f>IFERROR(__xludf.DUMMYFUNCTION("""COMPUTED_VALUE"""),"Italy")</f>
        <v>Italy</v>
      </c>
      <c r="L76">
        <f>IFERROR(__xludf.DUMMYFUNCTION("""COMPUTED_VALUE"""),18.0)</f>
        <v>18</v>
      </c>
      <c r="M76">
        <f>IFERROR(__xludf.DUMMYFUNCTION("""COMPUTED_VALUE"""),2.0)</f>
        <v>2</v>
      </c>
      <c r="N76">
        <f>IFERROR(__xludf.DUMMYFUNCTION("""COMPUTED_VALUE"""),41935.0)</f>
        <v>41935</v>
      </c>
    </row>
    <row r="77">
      <c r="A77">
        <f>IFERROR(__xludf.DUMMYFUNCTION("""COMPUTED_VALUE"""),373.0)</f>
        <v>373</v>
      </c>
      <c r="B77">
        <f>IFERROR(__xludf.DUMMYFUNCTION("""COMPUTED_VALUE"""),40.6695783)</f>
        <v>40.6695783</v>
      </c>
      <c r="C77">
        <f>IFERROR(__xludf.DUMMYFUNCTION("""COMPUTED_VALUE"""),16.5950964)</f>
        <v>16.5950964</v>
      </c>
      <c r="D77" t="str">
        <f>IFERROR(__xludf.DUMMYFUNCTION("""COMPUTED_VALUE"""),"Bed &amp; Breakfast")</f>
        <v>Bed &amp; Breakfast</v>
      </c>
      <c r="E77" t="str">
        <f>IFERROR(__xludf.DUMMYFUNCTION("""COMPUTED_VALUE"""),"MATERAPARTMENT")</f>
        <v>MATERAPARTMENT</v>
      </c>
      <c r="F77" t="str">
        <f>IFERROR(__xludf.DUMMYFUNCTION("""COMPUTED_VALUE"""),"BITETTI ANNUNZIATA")</f>
        <v>BITETTI ANNUNZIATA</v>
      </c>
      <c r="G77" t="str">
        <f>IFERROR(__xludf.DUMMYFUNCTION("""COMPUTED_VALUE"""),"VIA LAZAZZERA 30")</f>
        <v>VIA LAZAZZERA 30</v>
      </c>
      <c r="H77" t="str">
        <f>IFERROR(__xludf.DUMMYFUNCTION("""COMPUTED_VALUE"""),"Matera")</f>
        <v>Matera</v>
      </c>
      <c r="I77">
        <f>IFERROR(__xludf.DUMMYFUNCTION("""COMPUTED_VALUE"""),71.0)</f>
        <v>71</v>
      </c>
      <c r="J77">
        <f>IFERROR(__xludf.DUMMYFUNCTION("""COMPUTED_VALUE"""),2136.0)</f>
        <v>2136</v>
      </c>
      <c r="K77" t="str">
        <f>IFERROR(__xludf.DUMMYFUNCTION("""COMPUTED_VALUE"""),"Italy")</f>
        <v>Italy</v>
      </c>
      <c r="L77">
        <f>IFERROR(__xludf.DUMMYFUNCTION("""COMPUTED_VALUE"""),8.0)</f>
        <v>8</v>
      </c>
      <c r="M77">
        <f>IFERROR(__xludf.DUMMYFUNCTION("""COMPUTED_VALUE"""),3.0)</f>
        <v>3</v>
      </c>
      <c r="N77">
        <f>IFERROR(__xludf.DUMMYFUNCTION("""COMPUTED_VALUE"""),42228.0)</f>
        <v>42228</v>
      </c>
    </row>
    <row r="78">
      <c r="A78">
        <f>IFERROR(__xludf.DUMMYFUNCTION("""COMPUTED_VALUE"""),374.0)</f>
        <v>374</v>
      </c>
      <c r="B78">
        <f>IFERROR(__xludf.DUMMYFUNCTION("""COMPUTED_VALUE"""),40.666178)</f>
        <v>40.666178</v>
      </c>
      <c r="C78">
        <f>IFERROR(__xludf.DUMMYFUNCTION("""COMPUTED_VALUE"""),16.6109311)</f>
        <v>16.6109311</v>
      </c>
      <c r="D78" t="str">
        <f>IFERROR(__xludf.DUMMYFUNCTION("""COMPUTED_VALUE"""),"Bed &amp; Breakfast")</f>
        <v>Bed &amp; Breakfast</v>
      </c>
      <c r="E78" t="str">
        <f>IFERROR(__xludf.DUMMYFUNCTION("""COMPUTED_VALUE"""),"MATERA'S")</f>
        <v>MATERA'S</v>
      </c>
      <c r="F78" t="str">
        <f>IFERROR(__xludf.DUMMYFUNCTION("""COMPUTED_VALUE"""),"TOMMASO MATTEI")</f>
        <v>TOMMASO MATTEI</v>
      </c>
      <c r="G78" t="str">
        <f>IFERROR(__xludf.DUMMYFUNCTION("""COMPUTED_VALUE"""),"SALITA CASTELVECCHIO 16 17 18")</f>
        <v>SALITA CASTELVECCHIO 16 17 18</v>
      </c>
      <c r="H78" t="str">
        <f>IFERROR(__xludf.DUMMYFUNCTION("""COMPUTED_VALUE"""),"Matera")</f>
        <v>Matera</v>
      </c>
      <c r="I78">
        <f>IFERROR(__xludf.DUMMYFUNCTION("""COMPUTED_VALUE"""),159.0)</f>
        <v>159</v>
      </c>
      <c r="J78">
        <f>IFERROR(__xludf.DUMMYFUNCTION("""COMPUTED_VALUE"""),1529.0)</f>
        <v>1529</v>
      </c>
      <c r="K78" t="str">
        <f>IFERROR(__xludf.DUMMYFUNCTION("""COMPUTED_VALUE"""),"Italy")</f>
        <v>Italy</v>
      </c>
      <c r="L78">
        <f>IFERROR(__xludf.DUMMYFUNCTION("""COMPUTED_VALUE"""),16.0)</f>
        <v>16</v>
      </c>
      <c r="M78">
        <f>IFERROR(__xludf.DUMMYFUNCTION("""COMPUTED_VALUE"""),4.0)</f>
        <v>4</v>
      </c>
      <c r="N78">
        <f>IFERROR(__xludf.DUMMYFUNCTION("""COMPUTED_VALUE"""),42321.0)</f>
        <v>42321</v>
      </c>
    </row>
    <row r="79">
      <c r="A79">
        <f>IFERROR(__xludf.DUMMYFUNCTION("""COMPUTED_VALUE"""),375.0)</f>
        <v>375</v>
      </c>
      <c r="B79">
        <f>IFERROR(__xludf.DUMMYFUNCTION("""COMPUTED_VALUE"""),40.6752065)</f>
        <v>40.6752065</v>
      </c>
      <c r="C79">
        <f>IFERROR(__xludf.DUMMYFUNCTION("""COMPUTED_VALUE"""),16.5859766)</f>
        <v>16.5859766</v>
      </c>
      <c r="D79" t="str">
        <f>IFERROR(__xludf.DUMMYFUNCTION("""COMPUTED_VALUE"""),"Bed &amp; Breakfast")</f>
        <v>Bed &amp; Breakfast</v>
      </c>
      <c r="E79" t="str">
        <f>IFERROR(__xludf.DUMMYFUNCTION("""COMPUTED_VALUE"""),"MEUCCI")</f>
        <v>MEUCCI</v>
      </c>
      <c r="F79" t="str">
        <f>IFERROR(__xludf.DUMMYFUNCTION("""COMPUTED_VALUE"""),"TACCARDI MASSIMO")</f>
        <v>TACCARDI MASSIMO</v>
      </c>
      <c r="G79" t="str">
        <f>IFERROR(__xludf.DUMMYFUNCTION("""COMPUTED_VALUE"""),"VIA MEUCCI 1")</f>
        <v>VIA MEUCCI 1</v>
      </c>
      <c r="H79" t="str">
        <f>IFERROR(__xludf.DUMMYFUNCTION("""COMPUTED_VALUE"""),"Matera")</f>
        <v>Matera</v>
      </c>
      <c r="I79">
        <f>IFERROR(__xludf.DUMMYFUNCTION("""COMPUTED_VALUE"""),68.0)</f>
        <v>68</v>
      </c>
      <c r="J79">
        <f>IFERROR(__xludf.DUMMYFUNCTION("""COMPUTED_VALUE"""),281.0)</f>
        <v>281</v>
      </c>
      <c r="K79" t="str">
        <f>IFERROR(__xludf.DUMMYFUNCTION("""COMPUTED_VALUE"""),"Italy")</f>
        <v>Italy</v>
      </c>
      <c r="L79">
        <f>IFERROR(__xludf.DUMMYFUNCTION("""COMPUTED_VALUE"""),14.0)</f>
        <v>14</v>
      </c>
      <c r="M79">
        <f>IFERROR(__xludf.DUMMYFUNCTION("""COMPUTED_VALUE"""),4.0)</f>
        <v>4</v>
      </c>
      <c r="N79">
        <f>IFERROR(__xludf.DUMMYFUNCTION("""COMPUTED_VALUE"""),41291.0)</f>
        <v>41291</v>
      </c>
    </row>
    <row r="80">
      <c r="A80">
        <f>IFERROR(__xludf.DUMMYFUNCTION("""COMPUTED_VALUE"""),376.0)</f>
        <v>376</v>
      </c>
      <c r="B80">
        <f>IFERROR(__xludf.DUMMYFUNCTION("""COMPUTED_VALUE"""),40.6647072)</f>
        <v>40.6647072</v>
      </c>
      <c r="C80">
        <f>IFERROR(__xludf.DUMMYFUNCTION("""COMPUTED_VALUE"""),16.6004856)</f>
        <v>16.6004856</v>
      </c>
      <c r="D80" t="str">
        <f>IFERROR(__xludf.DUMMYFUNCTION("""COMPUTED_VALUE"""),"Bed &amp; breakfast")</f>
        <v>Bed &amp; breakfast</v>
      </c>
      <c r="E80" t="str">
        <f>IFERROR(__xludf.DUMMYFUNCTION("""COMPUTED_VALUE"""),"MISTY2D")</f>
        <v>MISTY2D</v>
      </c>
      <c r="F80" t="str">
        <f>IFERROR(__xludf.DUMMYFUNCTION("""COMPUTED_VALUE"""),"DANIELIULIAN BLEAU")</f>
        <v>DANIELIULIAN BLEAU</v>
      </c>
      <c r="G80" t="str">
        <f>IFERROR(__xludf.DUMMYFUNCTION("""COMPUTED_VALUE"""),"VIA CAPPELLUTI 47")</f>
        <v>VIA CAPPELLUTI 47</v>
      </c>
      <c r="H80" t="str">
        <f>IFERROR(__xludf.DUMMYFUNCTION("""COMPUTED_VALUE"""),"Matera")</f>
        <v>Matera</v>
      </c>
      <c r="I80">
        <f>IFERROR(__xludf.DUMMYFUNCTION("""COMPUTED_VALUE"""),71.0)</f>
        <v>71</v>
      </c>
      <c r="J80">
        <f>IFERROR(__xludf.DUMMYFUNCTION("""COMPUTED_VALUE"""),449.0)</f>
        <v>449</v>
      </c>
      <c r="K80" t="str">
        <f>IFERROR(__xludf.DUMMYFUNCTION("""COMPUTED_VALUE"""),"Italy")</f>
        <v>Italy</v>
      </c>
      <c r="L80">
        <f>IFERROR(__xludf.DUMMYFUNCTION("""COMPUTED_VALUE"""),1.0)</f>
        <v>1</v>
      </c>
      <c r="M80">
        <f>IFERROR(__xludf.DUMMYFUNCTION("""COMPUTED_VALUE"""),5.0)</f>
        <v>5</v>
      </c>
      <c r="N80">
        <f>IFERROR(__xludf.DUMMYFUNCTION("""COMPUTED_VALUE"""),42160.0)</f>
        <v>42160</v>
      </c>
    </row>
    <row r="81">
      <c r="A81">
        <f>IFERROR(__xludf.DUMMYFUNCTION("""COMPUTED_VALUE"""),377.0)</f>
        <v>377</v>
      </c>
      <c r="B81">
        <f>IFERROR(__xludf.DUMMYFUNCTION("""COMPUTED_VALUE"""),40.6657398)</f>
        <v>40.6657398</v>
      </c>
      <c r="C81">
        <f>IFERROR(__xludf.DUMMYFUNCTION("""COMPUTED_VALUE"""),16.6115226)</f>
        <v>16.6115226</v>
      </c>
      <c r="D81" t="str">
        <f>IFERROR(__xludf.DUMMYFUNCTION("""COMPUTED_VALUE"""),"Bed &amp; breakfast")</f>
        <v>Bed &amp; breakfast</v>
      </c>
      <c r="E81" t="str">
        <f>IFERROR(__xludf.DUMMYFUNCTION("""COMPUTED_VALUE"""),"NEI SASSI DA NINO")</f>
        <v>NEI SASSI DA NINO</v>
      </c>
      <c r="F81" t="str">
        <f>IFERROR(__xludf.DUMMYFUNCTION("""COMPUTED_VALUE"""),"BENIGNO OLIVOPOTENZA")</f>
        <v>BENIGNO OLIVOPOTENZA</v>
      </c>
      <c r="G81" t="str">
        <f>IFERROR(__xludf.DUMMYFUNCTION("""COMPUTED_VALUE"""),"RECINTO CAVONE 2")</f>
        <v>RECINTO CAVONE 2</v>
      </c>
      <c r="H81" t="str">
        <f>IFERROR(__xludf.DUMMYFUNCTION("""COMPUTED_VALUE"""),"Matera")</f>
        <v>Matera</v>
      </c>
      <c r="I81">
        <f>IFERROR(__xludf.DUMMYFUNCTION("""COMPUTED_VALUE"""),159.0)</f>
        <v>159</v>
      </c>
      <c r="J81">
        <f>IFERROR(__xludf.DUMMYFUNCTION("""COMPUTED_VALUE"""),1412.0)</f>
        <v>1412</v>
      </c>
      <c r="K81" t="str">
        <f>IFERROR(__xludf.DUMMYFUNCTION("""COMPUTED_VALUE"""),"Italy")</f>
        <v>Italy</v>
      </c>
      <c r="L81">
        <f>IFERROR(__xludf.DUMMYFUNCTION("""COMPUTED_VALUE"""),2.0)</f>
        <v>2</v>
      </c>
      <c r="M81">
        <f>IFERROR(__xludf.DUMMYFUNCTION("""COMPUTED_VALUE"""),2.0)</f>
        <v>2</v>
      </c>
      <c r="N81">
        <f>IFERROR(__xludf.DUMMYFUNCTION("""COMPUTED_VALUE"""),42531.0)</f>
        <v>42531</v>
      </c>
    </row>
    <row r="82">
      <c r="A82">
        <f>IFERROR(__xludf.DUMMYFUNCTION("""COMPUTED_VALUE"""),379.0)</f>
        <v>379</v>
      </c>
      <c r="B82">
        <f>IFERROR(__xludf.DUMMYFUNCTION("""COMPUTED_VALUE"""),40.6650298)</f>
        <v>40.6650298</v>
      </c>
      <c r="C82">
        <f>IFERROR(__xludf.DUMMYFUNCTION("""COMPUTED_VALUE"""),16.6078366)</f>
        <v>16.6078366</v>
      </c>
      <c r="D82" t="str">
        <f>IFERROR(__xludf.DUMMYFUNCTION("""COMPUTED_VALUE"""),"Bed &amp; Breakfast")</f>
        <v>Bed &amp; Breakfast</v>
      </c>
      <c r="E82" t="str">
        <f>IFERROR(__xludf.DUMMYFUNCTION("""COMPUTED_VALUE"""),"NETTA")</f>
        <v>NETTA</v>
      </c>
      <c r="F82" t="str">
        <f>IFERROR(__xludf.DUMMYFUNCTION("""COMPUTED_VALUE"""),"FLORIO MARIA CARMELA")</f>
        <v>FLORIO MARIA CARMELA</v>
      </c>
      <c r="G82" t="str">
        <f>IFERROR(__xludf.DUMMYFUNCTION("""COMPUTED_VALUE"""),"VIA SCOTELLARO 5")</f>
        <v>VIA SCOTELLARO 5</v>
      </c>
      <c r="H82" t="str">
        <f>IFERROR(__xludf.DUMMYFUNCTION("""COMPUTED_VALUE"""),"Matera")</f>
        <v>Matera</v>
      </c>
      <c r="I82">
        <f>IFERROR(__xludf.DUMMYFUNCTION("""COMPUTED_VALUE"""),159.0)</f>
        <v>159</v>
      </c>
      <c r="J82">
        <f>IFERROR(__xludf.DUMMYFUNCTION("""COMPUTED_VALUE"""),2605.0)</f>
        <v>2605</v>
      </c>
      <c r="K82" t="str">
        <f>IFERROR(__xludf.DUMMYFUNCTION("""COMPUTED_VALUE"""),"Italy")</f>
        <v>Italy</v>
      </c>
      <c r="L82">
        <f>IFERROR(__xludf.DUMMYFUNCTION("""COMPUTED_VALUE"""),17.0)</f>
        <v>17</v>
      </c>
      <c r="M82">
        <f>IFERROR(__xludf.DUMMYFUNCTION("""COMPUTED_VALUE"""),7.0)</f>
        <v>7</v>
      </c>
      <c r="N82">
        <f>IFERROR(__xludf.DUMMYFUNCTION("""COMPUTED_VALUE"""),42838.0)</f>
        <v>42838</v>
      </c>
    </row>
    <row r="83">
      <c r="A83">
        <f>IFERROR(__xludf.DUMMYFUNCTION("""COMPUTED_VALUE"""),381.0)</f>
        <v>381</v>
      </c>
      <c r="B83">
        <f>IFERROR(__xludf.DUMMYFUNCTION("""COMPUTED_VALUE"""),40.6743411)</f>
        <v>40.6743411</v>
      </c>
      <c r="C83">
        <f>IFERROR(__xludf.DUMMYFUNCTION("""COMPUTED_VALUE"""),16.5799202)</f>
        <v>16.5799202</v>
      </c>
      <c r="D83" t="str">
        <f>IFERROR(__xludf.DUMMYFUNCTION("""COMPUTED_VALUE"""),"Bed &amp; Breakfast")</f>
        <v>Bed &amp; Breakfast</v>
      </c>
      <c r="E83" t="str">
        <f>IFERROR(__xludf.DUMMYFUNCTION("""COMPUTED_VALUE"""),"ORIONE")</f>
        <v>ORIONE</v>
      </c>
      <c r="F83" t="str">
        <f>IFERROR(__xludf.DUMMYFUNCTION("""COMPUTED_VALUE"""),"BURDO ADDOLORATA")</f>
        <v>BURDO ADDOLORATA</v>
      </c>
      <c r="G83" t="str">
        <f>IFERROR(__xludf.DUMMYFUNCTION("""COMPUTED_VALUE"""),"VIA SINNI 9")</f>
        <v>VIA SINNI 9</v>
      </c>
      <c r="H83" t="str">
        <f>IFERROR(__xludf.DUMMYFUNCTION("""COMPUTED_VALUE"""),"Matera")</f>
        <v>Matera</v>
      </c>
      <c r="I83">
        <f>IFERROR(__xludf.DUMMYFUNCTION("""COMPUTED_VALUE"""),67.0)</f>
        <v>67</v>
      </c>
      <c r="J83">
        <f>IFERROR(__xludf.DUMMYFUNCTION("""COMPUTED_VALUE"""),408.0)</f>
        <v>408</v>
      </c>
      <c r="K83" t="str">
        <f>IFERROR(__xludf.DUMMYFUNCTION("""COMPUTED_VALUE"""),"Italy")</f>
        <v>Italy</v>
      </c>
      <c r="L83" t="str">
        <f>IFERROR(__xludf.DUMMYFUNCTION("""COMPUTED_VALUE"""),"")</f>
        <v/>
      </c>
      <c r="M83">
        <f>IFERROR(__xludf.DUMMYFUNCTION("""COMPUTED_VALUE"""),3.0)</f>
        <v>3</v>
      </c>
      <c r="N83">
        <f>IFERROR(__xludf.DUMMYFUNCTION("""COMPUTED_VALUE"""),42458.0)</f>
        <v>42458</v>
      </c>
    </row>
    <row r="84">
      <c r="A84">
        <f>IFERROR(__xludf.DUMMYFUNCTION("""COMPUTED_VALUE"""),382.0)</f>
        <v>382</v>
      </c>
      <c r="B84">
        <f>IFERROR(__xludf.DUMMYFUNCTION("""COMPUTED_VALUE"""),40.669989)</f>
        <v>40.669989</v>
      </c>
      <c r="C84">
        <f>IFERROR(__xludf.DUMMYFUNCTION("""COMPUTED_VALUE"""),16.60884)</f>
        <v>16.60884</v>
      </c>
      <c r="D84" t="str">
        <f>IFERROR(__xludf.DUMMYFUNCTION("""COMPUTED_VALUE"""),"Bed &amp; Breakfast")</f>
        <v>Bed &amp; Breakfast</v>
      </c>
      <c r="E84" t="str">
        <f>IFERROR(__xludf.DUMMYFUNCTION("""COMPUTED_VALUE"""),"PATA'")</f>
        <v>PATA'</v>
      </c>
      <c r="F84" t="str">
        <f>IFERROR(__xludf.DUMMYFUNCTION("""COMPUTED_VALUE"""),"TERESA LIONETTI")</f>
        <v>TERESA LIONETTI</v>
      </c>
      <c r="G84" t="str">
        <f>IFERROR(__xludf.DUMMYFUNCTION("""COMPUTED_VALUE"""),"VIA SANTA CESAREA 10")</f>
        <v>VIA SANTA CESAREA 10</v>
      </c>
      <c r="H84" t="str">
        <f>IFERROR(__xludf.DUMMYFUNCTION("""COMPUTED_VALUE"""),"Matera")</f>
        <v>Matera</v>
      </c>
      <c r="I84">
        <f>IFERROR(__xludf.DUMMYFUNCTION("""COMPUTED_VALUE"""),159.0)</f>
        <v>159</v>
      </c>
      <c r="J84">
        <f>IFERROR(__xludf.DUMMYFUNCTION("""COMPUTED_VALUE"""),171.0)</f>
        <v>171</v>
      </c>
      <c r="K84" t="str">
        <f>IFERROR(__xludf.DUMMYFUNCTION("""COMPUTED_VALUE"""),"Italy")</f>
        <v>Italy</v>
      </c>
      <c r="L84">
        <f>IFERROR(__xludf.DUMMYFUNCTION("""COMPUTED_VALUE"""),5.0)</f>
        <v>5</v>
      </c>
      <c r="M84">
        <f>IFERROR(__xludf.DUMMYFUNCTION("""COMPUTED_VALUE"""),2.0)</f>
        <v>2</v>
      </c>
      <c r="N84">
        <f>IFERROR(__xludf.DUMMYFUNCTION("""COMPUTED_VALUE"""),42577.0)</f>
        <v>42577</v>
      </c>
    </row>
    <row r="85">
      <c r="A85">
        <f>IFERROR(__xludf.DUMMYFUNCTION("""COMPUTED_VALUE"""),383.0)</f>
        <v>383</v>
      </c>
      <c r="B85">
        <f>IFERROR(__xludf.DUMMYFUNCTION("""COMPUTED_VALUE"""),40.66647)</f>
        <v>40.66647</v>
      </c>
      <c r="C85">
        <f>IFERROR(__xludf.DUMMYFUNCTION("""COMPUTED_VALUE"""),16.61176)</f>
        <v>16.61176</v>
      </c>
      <c r="D85" t="str">
        <f>IFERROR(__xludf.DUMMYFUNCTION("""COMPUTED_VALUE"""),"Bed &amp; Breakfast")</f>
        <v>Bed &amp; Breakfast</v>
      </c>
      <c r="E85" t="str">
        <f>IFERROR(__xludf.DUMMYFUNCTION("""COMPUTED_VALUE"""),"PONTICELLO A SAN POTITO")</f>
        <v>PONTICELLO A SAN POTITO</v>
      </c>
      <c r="F85" t="str">
        <f>IFERROR(__xludf.DUMMYFUNCTION("""COMPUTED_VALUE"""),"AMABILE TRILLI")</f>
        <v>AMABILE TRILLI</v>
      </c>
      <c r="G85" t="str">
        <f>IFERROR(__xludf.DUMMYFUNCTION("""COMPUTED_VALUE"""),"VIA SAN POTITO 55")</f>
        <v>VIA SAN POTITO 55</v>
      </c>
      <c r="H85" t="str">
        <f>IFERROR(__xludf.DUMMYFUNCTION("""COMPUTED_VALUE"""),"Matera")</f>
        <v>Matera</v>
      </c>
      <c r="I85">
        <f>IFERROR(__xludf.DUMMYFUNCTION("""COMPUTED_VALUE"""),159.0)</f>
        <v>159</v>
      </c>
      <c r="J85" t="str">
        <f>IFERROR(__xludf.DUMMYFUNCTION("""COMPUTED_VALUE"""),"")</f>
        <v/>
      </c>
      <c r="K85" t="str">
        <f>IFERROR(__xludf.DUMMYFUNCTION("""COMPUTED_VALUE"""),"Italy")</f>
        <v>Italy</v>
      </c>
      <c r="L85" t="str">
        <f>IFERROR(__xludf.DUMMYFUNCTION("""COMPUTED_VALUE"""),"")</f>
        <v/>
      </c>
      <c r="M85">
        <f>IFERROR(__xludf.DUMMYFUNCTION("""COMPUTED_VALUE"""),2.0)</f>
        <v>2</v>
      </c>
      <c r="N85">
        <f>IFERROR(__xludf.DUMMYFUNCTION("""COMPUTED_VALUE"""),42417.0)</f>
        <v>42417</v>
      </c>
    </row>
    <row r="86">
      <c r="A86">
        <f>IFERROR(__xludf.DUMMYFUNCTION("""COMPUTED_VALUE"""),384.0)</f>
        <v>384</v>
      </c>
      <c r="B86">
        <f>IFERROR(__xludf.DUMMYFUNCTION("""COMPUTED_VALUE"""),40.648251)</f>
        <v>40.648251</v>
      </c>
      <c r="C86">
        <f>IFERROR(__xludf.DUMMYFUNCTION("""COMPUTED_VALUE"""),16.6024079)</f>
        <v>16.6024079</v>
      </c>
      <c r="D86" t="str">
        <f>IFERROR(__xludf.DUMMYFUNCTION("""COMPUTED_VALUE"""),"Bed &amp; Breakfast")</f>
        <v>Bed &amp; Breakfast</v>
      </c>
      <c r="E86" t="str">
        <f>IFERROR(__xludf.DUMMYFUNCTION("""COMPUTED_VALUE"""),"PORTAPEPICE")</f>
        <v>PORTAPEPICE</v>
      </c>
      <c r="F86" t="str">
        <f>IFERROR(__xludf.DUMMYFUNCTION("""COMPUTED_VALUE"""),"ALDO URGO")</f>
        <v>ALDO URGO</v>
      </c>
      <c r="G86" t="str">
        <f>IFERROR(__xludf.DUMMYFUNCTION("""COMPUTED_VALUE"""),"CONTRADA CHIANCALATA")</f>
        <v>CONTRADA CHIANCALATA</v>
      </c>
      <c r="H86" t="str">
        <f>IFERROR(__xludf.DUMMYFUNCTION("""COMPUTED_VALUE"""),"Matera")</f>
        <v>Matera</v>
      </c>
      <c r="I86">
        <f>IFERROR(__xludf.DUMMYFUNCTION("""COMPUTED_VALUE"""),103.0)</f>
        <v>103</v>
      </c>
      <c r="J86">
        <f>IFERROR(__xludf.DUMMYFUNCTION("""COMPUTED_VALUE"""),879.0)</f>
        <v>879</v>
      </c>
      <c r="K86" t="str">
        <f>IFERROR(__xludf.DUMMYFUNCTION("""COMPUTED_VALUE"""),"Italy")</f>
        <v>Italy</v>
      </c>
      <c r="L86" t="str">
        <f>IFERROR(__xludf.DUMMYFUNCTION("""COMPUTED_VALUE"""),"")</f>
        <v/>
      </c>
      <c r="M86">
        <f>IFERROR(__xludf.DUMMYFUNCTION("""COMPUTED_VALUE"""),2.0)</f>
        <v>2</v>
      </c>
      <c r="N86">
        <f>IFERROR(__xludf.DUMMYFUNCTION("""COMPUTED_VALUE"""),42528.0)</f>
        <v>42528</v>
      </c>
    </row>
    <row r="87">
      <c r="A87">
        <f>IFERROR(__xludf.DUMMYFUNCTION("""COMPUTED_VALUE"""),385.0)</f>
        <v>385</v>
      </c>
      <c r="B87">
        <f>IFERROR(__xludf.DUMMYFUNCTION("""COMPUTED_VALUE"""),40.6667908)</f>
        <v>40.6667908</v>
      </c>
      <c r="C87">
        <f>IFERROR(__xludf.DUMMYFUNCTION("""COMPUTED_VALUE"""),16.6101923)</f>
        <v>16.6101923</v>
      </c>
      <c r="D87" t="str">
        <f>IFERROR(__xludf.DUMMYFUNCTION("""COMPUTED_VALUE"""),"Bed &amp; Breakfast")</f>
        <v>Bed &amp; Breakfast</v>
      </c>
      <c r="E87" t="str">
        <f>IFERROR(__xludf.DUMMYFUNCTION("""COMPUTED_VALUE"""),"I SAN GENNARO  b &amp; B")</f>
        <v>I SAN GENNARO  b &amp; B</v>
      </c>
      <c r="F87" t="str">
        <f>IFERROR(__xludf.DUMMYFUNCTION("""COMPUTED_VALUE"""),"DI BENEDETTO FRANCO")</f>
        <v>DI BENEDETTO FRANCO</v>
      </c>
      <c r="G87" t="str">
        <f>IFERROR(__xludf.DUMMYFUNCTION("""COMPUTED_VALUE"""),"VIA SAN GENNARO 24")</f>
        <v>VIA SAN GENNARO 24</v>
      </c>
      <c r="H87" t="str">
        <f>IFERROR(__xludf.DUMMYFUNCTION("""COMPUTED_VALUE"""),"Matera")</f>
        <v>Matera</v>
      </c>
      <c r="I87" t="str">
        <f>IFERROR(__xludf.DUMMYFUNCTION("""COMPUTED_VALUE"""),"")</f>
        <v/>
      </c>
      <c r="J87" t="str">
        <f>IFERROR(__xludf.DUMMYFUNCTION("""COMPUTED_VALUE"""),"")</f>
        <v/>
      </c>
      <c r="K87" t="str">
        <f>IFERROR(__xludf.DUMMYFUNCTION("""COMPUTED_VALUE"""),"Italy")</f>
        <v>Italy</v>
      </c>
      <c r="L87" t="str">
        <f>IFERROR(__xludf.DUMMYFUNCTION("""COMPUTED_VALUE"""),"")</f>
        <v/>
      </c>
      <c r="M87">
        <f>IFERROR(__xludf.DUMMYFUNCTION("""COMPUTED_VALUE"""),6.0)</f>
        <v>6</v>
      </c>
      <c r="N87">
        <f>IFERROR(__xludf.DUMMYFUNCTION("""COMPUTED_VALUE"""),37937.0)</f>
        <v>37937</v>
      </c>
    </row>
    <row r="88">
      <c r="A88">
        <f>IFERROR(__xludf.DUMMYFUNCTION("""COMPUTED_VALUE"""),386.0)</f>
        <v>386</v>
      </c>
      <c r="B88">
        <f>IFERROR(__xludf.DUMMYFUNCTION("""COMPUTED_VALUE"""),40.6721108)</f>
        <v>40.6721108</v>
      </c>
      <c r="C88">
        <f>IFERROR(__xludf.DUMMYFUNCTION("""COMPUTED_VALUE"""),16.6022857)</f>
        <v>16.6022857</v>
      </c>
      <c r="D88" t="str">
        <f>IFERROR(__xludf.DUMMYFUNCTION("""COMPUTED_VALUE"""),"Bed &amp; Breakfast")</f>
        <v>Bed &amp; Breakfast</v>
      </c>
      <c r="E88" t="str">
        <f>IFERROR(__xludf.DUMMYFUNCTION("""COMPUTED_VALUE"""),"ROOMS MATERA")</f>
        <v>ROOMS MATERA</v>
      </c>
      <c r="F88" t="str">
        <f>IFERROR(__xludf.DUMMYFUNCTION("""COMPUTED_VALUE"""),"NICOLA PLASMATI")</f>
        <v>NICOLA PLASMATI</v>
      </c>
      <c r="G88" t="str">
        <f>IFERROR(__xludf.DUMMYFUNCTION("""COMPUTED_VALUE"""),"VIA ANNUNZIATELLA  147")</f>
        <v>VIA ANNUNZIATELLA  147</v>
      </c>
      <c r="H88" t="str">
        <f>IFERROR(__xludf.DUMMYFUNCTION("""COMPUTED_VALUE"""),"Matera")</f>
        <v>Matera</v>
      </c>
      <c r="I88">
        <f>IFERROR(__xludf.DUMMYFUNCTION("""COMPUTED_VALUE"""),71.0)</f>
        <v>71</v>
      </c>
      <c r="J88">
        <f>IFERROR(__xludf.DUMMYFUNCTION("""COMPUTED_VALUE"""),708.0)</f>
        <v>708</v>
      </c>
      <c r="K88" t="str">
        <f>IFERROR(__xludf.DUMMYFUNCTION("""COMPUTED_VALUE"""),"Italy")</f>
        <v>Italy</v>
      </c>
      <c r="L88">
        <f>IFERROR(__xludf.DUMMYFUNCTION("""COMPUTED_VALUE"""),30.0)</f>
        <v>30</v>
      </c>
      <c r="M88">
        <f>IFERROR(__xludf.DUMMYFUNCTION("""COMPUTED_VALUE"""),4.0)</f>
        <v>4</v>
      </c>
      <c r="N88">
        <f>IFERROR(__xludf.DUMMYFUNCTION("""COMPUTED_VALUE"""),42401.0)</f>
        <v>42401</v>
      </c>
    </row>
    <row r="89">
      <c r="A89">
        <f>IFERROR(__xludf.DUMMYFUNCTION("""COMPUTED_VALUE"""),387.0)</f>
        <v>387</v>
      </c>
      <c r="B89">
        <f>IFERROR(__xludf.DUMMYFUNCTION("""COMPUTED_VALUE"""),40.6668635)</f>
        <v>40.6668635</v>
      </c>
      <c r="C89">
        <f>IFERROR(__xludf.DUMMYFUNCTION("""COMPUTED_VALUE"""),16.6128911)</f>
        <v>16.6128911</v>
      </c>
      <c r="D89" t="str">
        <f>IFERROR(__xludf.DUMMYFUNCTION("""COMPUTED_VALUE"""),"Bed &amp; Breakfast")</f>
        <v>Bed &amp; Breakfast</v>
      </c>
      <c r="E89" t="str">
        <f>IFERROR(__xludf.DUMMYFUNCTION("""COMPUTED_VALUE"""),"SAN POTITO")</f>
        <v>SAN POTITO</v>
      </c>
      <c r="F89" t="str">
        <f>IFERROR(__xludf.DUMMYFUNCTION("""COMPUTED_VALUE"""),"GAUDIANO FRANCESCA")</f>
        <v>GAUDIANO FRANCESCA</v>
      </c>
      <c r="G89" t="str">
        <f>IFERROR(__xludf.DUMMYFUNCTION("""COMPUTED_VALUE"""),"via San Potito 10")</f>
        <v>via San Potito 10</v>
      </c>
      <c r="H89" t="str">
        <f>IFERROR(__xludf.DUMMYFUNCTION("""COMPUTED_VALUE"""),"Matera")</f>
        <v>Matera</v>
      </c>
      <c r="I89">
        <f>IFERROR(__xludf.DUMMYFUNCTION("""COMPUTED_VALUE"""),159.0)</f>
        <v>159</v>
      </c>
      <c r="J89">
        <f>IFERROR(__xludf.DUMMYFUNCTION("""COMPUTED_VALUE"""),1255.0)</f>
        <v>1255</v>
      </c>
      <c r="K89" t="str">
        <f>IFERROR(__xludf.DUMMYFUNCTION("""COMPUTED_VALUE"""),"Italy")</f>
        <v>Italy</v>
      </c>
      <c r="L89">
        <f>IFERROR(__xludf.DUMMYFUNCTION("""COMPUTED_VALUE"""),12.0)</f>
        <v>12</v>
      </c>
      <c r="M89" t="str">
        <f>IFERROR(__xludf.DUMMYFUNCTION("""COMPUTED_VALUE"""),"")</f>
        <v/>
      </c>
      <c r="N89">
        <f>IFERROR(__xludf.DUMMYFUNCTION("""COMPUTED_VALUE"""),38764.0)</f>
        <v>38764</v>
      </c>
    </row>
    <row r="90">
      <c r="A90">
        <f>IFERROR(__xludf.DUMMYFUNCTION("""COMPUTED_VALUE"""),388.0)</f>
        <v>388</v>
      </c>
      <c r="B90">
        <f>IFERROR(__xludf.DUMMYFUNCTION("""COMPUTED_VALUE"""),40.6678407)</f>
        <v>40.6678407</v>
      </c>
      <c r="C90">
        <f>IFERROR(__xludf.DUMMYFUNCTION("""COMPUTED_VALUE"""),16.6091579)</f>
        <v>16.6091579</v>
      </c>
      <c r="D90" t="str">
        <f>IFERROR(__xludf.DUMMYFUNCTION("""COMPUTED_VALUE"""),"Bed &amp; Breakfast")</f>
        <v>Bed &amp; Breakfast</v>
      </c>
      <c r="E90" t="str">
        <f>IFERROR(__xludf.DUMMYFUNCTION("""COMPUTED_VALUE"""),"SAN ROCCO")</f>
        <v>SAN ROCCO</v>
      </c>
      <c r="F90" t="str">
        <f>IFERROR(__xludf.DUMMYFUNCTION("""COMPUTED_VALUE"""),"STASI TERESA")</f>
        <v>STASI TERESA</v>
      </c>
      <c r="G90" t="str">
        <f>IFERROR(__xludf.DUMMYFUNCTION("""COMPUTED_VALUE"""),"via San Rocco 78")</f>
        <v>via San Rocco 78</v>
      </c>
      <c r="H90" t="str">
        <f>IFERROR(__xludf.DUMMYFUNCTION("""COMPUTED_VALUE"""),"Matera")</f>
        <v>Matera</v>
      </c>
      <c r="I90" t="str">
        <f>IFERROR(__xludf.DUMMYFUNCTION("""COMPUTED_VALUE"""),"")</f>
        <v/>
      </c>
      <c r="J90" t="str">
        <f>IFERROR(__xludf.DUMMYFUNCTION("""COMPUTED_VALUE"""),"")</f>
        <v/>
      </c>
      <c r="K90" t="str">
        <f>IFERROR(__xludf.DUMMYFUNCTION("""COMPUTED_VALUE"""),"Italy")</f>
        <v>Italy</v>
      </c>
      <c r="L90" t="str">
        <f>IFERROR(__xludf.DUMMYFUNCTION("""COMPUTED_VALUE"""),"")</f>
        <v/>
      </c>
      <c r="M90">
        <f>IFERROR(__xludf.DUMMYFUNCTION("""COMPUTED_VALUE"""),2.0)</f>
        <v>2</v>
      </c>
      <c r="N90">
        <f>IFERROR(__xludf.DUMMYFUNCTION("""COMPUTED_VALUE"""),39848.0)</f>
        <v>39848</v>
      </c>
    </row>
    <row r="91">
      <c r="A91">
        <f>IFERROR(__xludf.DUMMYFUNCTION("""COMPUTED_VALUE"""),389.0)</f>
        <v>389</v>
      </c>
      <c r="B91">
        <f>IFERROR(__xludf.DUMMYFUNCTION("""COMPUTED_VALUE"""),40.6643476)</f>
        <v>40.6643476</v>
      </c>
      <c r="C91">
        <f>IFERROR(__xludf.DUMMYFUNCTION("""COMPUTED_VALUE"""),16.6115588)</f>
        <v>16.6115588</v>
      </c>
      <c r="D91" t="str">
        <f>IFERROR(__xludf.DUMMYFUNCTION("""COMPUTED_VALUE"""),"Bed &amp; Breakfast")</f>
        <v>Bed &amp; Breakfast</v>
      </c>
      <c r="E91" t="str">
        <f>IFERROR(__xludf.DUMMYFUNCTION("""COMPUTED_VALUE"""),"SASSOLINO")</f>
        <v>SASSOLINO</v>
      </c>
      <c r="F91" t="str">
        <f>IFERROR(__xludf.DUMMYFUNCTION("""COMPUTED_VALUE"""),"GRANDE GRAZIA")</f>
        <v>GRANDE GRAZIA</v>
      </c>
      <c r="G91" t="str">
        <f>IFERROR(__xludf.DUMMYFUNCTION("""COMPUTED_VALUE"""),"via Bruno Buozzi 180")</f>
        <v>via Bruno Buozzi 180</v>
      </c>
      <c r="H91" t="str">
        <f>IFERROR(__xludf.DUMMYFUNCTION("""COMPUTED_VALUE"""),"Matera")</f>
        <v>Matera</v>
      </c>
      <c r="I91">
        <f>IFERROR(__xludf.DUMMYFUNCTION("""COMPUTED_VALUE"""),159.0)</f>
        <v>159</v>
      </c>
      <c r="J91">
        <f>IFERROR(__xludf.DUMMYFUNCTION("""COMPUTED_VALUE"""),3369.0)</f>
        <v>3369</v>
      </c>
      <c r="K91" t="str">
        <f>IFERROR(__xludf.DUMMYFUNCTION("""COMPUTED_VALUE"""),"Italy")</f>
        <v>Italy</v>
      </c>
      <c r="L91">
        <f>IFERROR(__xludf.DUMMYFUNCTION("""COMPUTED_VALUE"""),4.0)</f>
        <v>4</v>
      </c>
      <c r="M91">
        <f>IFERROR(__xludf.DUMMYFUNCTION("""COMPUTED_VALUE"""),6.0)</f>
        <v>6</v>
      </c>
      <c r="N91">
        <f>IFERROR(__xludf.DUMMYFUNCTION("""COMPUTED_VALUE"""),39562.0)</f>
        <v>39562</v>
      </c>
    </row>
    <row r="92">
      <c r="A92">
        <f>IFERROR(__xludf.DUMMYFUNCTION("""COMPUTED_VALUE"""),395.0)</f>
        <v>395</v>
      </c>
      <c r="B92">
        <f>IFERROR(__xludf.DUMMYFUNCTION("""COMPUTED_VALUE"""),40.6553849)</f>
        <v>40.6553849</v>
      </c>
      <c r="C92">
        <f>IFERROR(__xludf.DUMMYFUNCTION("""COMPUTED_VALUE"""),16.5857851)</f>
        <v>16.5857851</v>
      </c>
      <c r="D92" t="str">
        <f>IFERROR(__xludf.DUMMYFUNCTION("""COMPUTED_VALUE"""),"Bed &amp; Breakfast")</f>
        <v>Bed &amp; Breakfast</v>
      </c>
      <c r="E92" t="str">
        <f>IFERROR(__xludf.DUMMYFUNCTION("""COMPUTED_VALUE"""),"VILLA RAFFY")</f>
        <v>VILLA RAFFY</v>
      </c>
      <c r="F92" t="str">
        <f>IFERROR(__xludf.DUMMYFUNCTION("""COMPUTED_VALUE"""),"LOPERFIDO MARIA RAFFAELLA")</f>
        <v>LOPERFIDO MARIA RAFFAELLA</v>
      </c>
      <c r="G92" t="str">
        <f>IFERROR(__xludf.DUMMYFUNCTION("""COMPUTED_VALUE"""),"C.DA POZZO MISSEO")</f>
        <v>C.DA POZZO MISSEO</v>
      </c>
      <c r="H92" t="str">
        <f>IFERROR(__xludf.DUMMYFUNCTION("""COMPUTED_VALUE"""),"Matera")</f>
        <v>Matera</v>
      </c>
      <c r="I92">
        <f>IFERROR(__xludf.DUMMYFUNCTION("""COMPUTED_VALUE"""),100.0)</f>
        <v>100</v>
      </c>
      <c r="J92">
        <f>IFERROR(__xludf.DUMMYFUNCTION("""COMPUTED_VALUE"""),536.0)</f>
        <v>536</v>
      </c>
      <c r="K92" t="str">
        <f>IFERROR(__xludf.DUMMYFUNCTION("""COMPUTED_VALUE"""),"Italy")</f>
        <v>Italy</v>
      </c>
      <c r="L92">
        <f>IFERROR(__xludf.DUMMYFUNCTION("""COMPUTED_VALUE"""),11.0)</f>
        <v>11</v>
      </c>
      <c r="M92">
        <f>IFERROR(__xludf.DUMMYFUNCTION("""COMPUTED_VALUE"""),2.0)</f>
        <v>2</v>
      </c>
      <c r="N92">
        <f>IFERROR(__xludf.DUMMYFUNCTION("""COMPUTED_VALUE"""),42537.0)</f>
        <v>42537</v>
      </c>
    </row>
    <row r="93">
      <c r="A93">
        <f>IFERROR(__xludf.DUMMYFUNCTION("""COMPUTED_VALUE"""),396.0)</f>
        <v>396</v>
      </c>
      <c r="B93">
        <f>IFERROR(__xludf.DUMMYFUNCTION("""COMPUTED_VALUE"""),40.6593082)</f>
        <v>40.6593082</v>
      </c>
      <c r="C93">
        <f>IFERROR(__xludf.DUMMYFUNCTION("""COMPUTED_VALUE"""),16.6072331)</f>
        <v>16.6072331</v>
      </c>
      <c r="D93" t="str">
        <f>IFERROR(__xludf.DUMMYFUNCTION("""COMPUTED_VALUE"""),"Bed &amp; Breakfast")</f>
        <v>Bed &amp; Breakfast</v>
      </c>
      <c r="E93" t="str">
        <f>IFERROR(__xludf.DUMMYFUNCTION("""COMPUTED_VALUE"""),"ACCERASSOLE")</f>
        <v>ACCERASSOLE</v>
      </c>
      <c r="F93" t="str">
        <f>IFERROR(__xludf.DUMMYFUNCTION("""COMPUTED_VALUE"""),"VENEZIA FILOMENA")</f>
        <v>VENEZIA FILOMENA</v>
      </c>
      <c r="G93" t="str">
        <f>IFERROR(__xludf.DUMMYFUNCTION("""COMPUTED_VALUE"""),"VIA P. VENA 85")</f>
        <v>VIA P. VENA 85</v>
      </c>
      <c r="H93" t="str">
        <f>IFERROR(__xludf.DUMMYFUNCTION("""COMPUTED_VALUE"""),"Matera")</f>
        <v>Matera</v>
      </c>
      <c r="I93">
        <f>IFERROR(__xludf.DUMMYFUNCTION("""COMPUTED_VALUE"""),103.0)</f>
        <v>103</v>
      </c>
      <c r="J93">
        <f>IFERROR(__xludf.DUMMYFUNCTION("""COMPUTED_VALUE"""),418.0)</f>
        <v>418</v>
      </c>
      <c r="K93" t="str">
        <f>IFERROR(__xludf.DUMMYFUNCTION("""COMPUTED_VALUE"""),"Italy")</f>
        <v>Italy</v>
      </c>
      <c r="L93" t="str">
        <f>IFERROR(__xludf.DUMMYFUNCTION("""COMPUTED_VALUE"""),"")</f>
        <v/>
      </c>
      <c r="M93">
        <f>IFERROR(__xludf.DUMMYFUNCTION("""COMPUTED_VALUE"""),2.0)</f>
        <v>2</v>
      </c>
      <c r="N93">
        <f>IFERROR(__xludf.DUMMYFUNCTION("""COMPUTED_VALUE"""),42624.0)</f>
        <v>42624</v>
      </c>
    </row>
    <row r="94">
      <c r="A94">
        <f>IFERROR(__xludf.DUMMYFUNCTION("""COMPUTED_VALUE"""),397.0)</f>
        <v>397</v>
      </c>
      <c r="B94">
        <f>IFERROR(__xludf.DUMMYFUNCTION("""COMPUTED_VALUE"""),40.6657398)</f>
        <v>40.6657398</v>
      </c>
      <c r="C94">
        <f>IFERROR(__xludf.DUMMYFUNCTION("""COMPUTED_VALUE"""),16.6115226)</f>
        <v>16.6115226</v>
      </c>
      <c r="D94" t="str">
        <f>IFERROR(__xludf.DUMMYFUNCTION("""COMPUTED_VALUE"""),"Bed &amp; Breakfast")</f>
        <v>Bed &amp; Breakfast</v>
      </c>
      <c r="E94" t="str">
        <f>IFERROR(__xludf.DUMMYFUNCTION("""COMPUTED_VALUE"""),"UNO SGUARDO SUI SASSI")</f>
        <v>UNO SGUARDO SUI SASSI</v>
      </c>
      <c r="F94" t="str">
        <f>IFERROR(__xludf.DUMMYFUNCTION("""COMPUTED_VALUE"""),"RONDINONE ANGELA")</f>
        <v>RONDINONE ANGELA</v>
      </c>
      <c r="G94" t="str">
        <f>IFERROR(__xludf.DUMMYFUNCTION("""COMPUTED_VALUE"""),"VICO SANTO STEFANO 90")</f>
        <v>VICO SANTO STEFANO 90</v>
      </c>
      <c r="H94" t="str">
        <f>IFERROR(__xludf.DUMMYFUNCTION("""COMPUTED_VALUE"""),"Matera")</f>
        <v>Matera</v>
      </c>
      <c r="I94">
        <f>IFERROR(__xludf.DUMMYFUNCTION("""COMPUTED_VALUE"""),72.0)</f>
        <v>72</v>
      </c>
      <c r="J94">
        <f>IFERROR(__xludf.DUMMYFUNCTION("""COMPUTED_VALUE"""),156.0)</f>
        <v>156</v>
      </c>
      <c r="K94" t="str">
        <f>IFERROR(__xludf.DUMMYFUNCTION("""COMPUTED_VALUE"""),"Italy")</f>
        <v>Italy</v>
      </c>
      <c r="L94">
        <f>IFERROR(__xludf.DUMMYFUNCTION("""COMPUTED_VALUE"""),11.0)</f>
        <v>11</v>
      </c>
      <c r="M94">
        <f>IFERROR(__xludf.DUMMYFUNCTION("""COMPUTED_VALUE"""),3.0)</f>
        <v>3</v>
      </c>
      <c r="N94">
        <f>IFERROR(__xludf.DUMMYFUNCTION("""COMPUTED_VALUE"""),42705.0)</f>
        <v>42705</v>
      </c>
    </row>
    <row r="95">
      <c r="A95">
        <f>IFERROR(__xludf.DUMMYFUNCTION("""COMPUTED_VALUE"""),398.0)</f>
        <v>398</v>
      </c>
      <c r="B95">
        <f>IFERROR(__xludf.DUMMYFUNCTION("""COMPUTED_VALUE"""),40.676691)</f>
        <v>40.676691</v>
      </c>
      <c r="C95">
        <f>IFERROR(__xludf.DUMMYFUNCTION("""COMPUTED_VALUE"""),16.599124)</f>
        <v>16.599124</v>
      </c>
      <c r="D95" t="str">
        <f>IFERROR(__xludf.DUMMYFUNCTION("""COMPUTED_VALUE"""),"Bed &amp; Breakfast")</f>
        <v>Bed &amp; Breakfast</v>
      </c>
      <c r="E95" t="str">
        <f>IFERROR(__xludf.DUMMYFUNCTION("""COMPUTED_VALUE"""),"TRA I MULINI")</f>
        <v>TRA I MULINI</v>
      </c>
      <c r="F95" t="str">
        <f>IFERROR(__xludf.DUMMYFUNCTION("""COMPUTED_VALUE"""),"MARCOSANO MARIA PIA")</f>
        <v>MARCOSANO MARIA PIA</v>
      </c>
      <c r="G95" t="str">
        <f>IFERROR(__xludf.DUMMYFUNCTION("""COMPUTED_VALUE"""),"VIA MARCONI 121")</f>
        <v>VIA MARCONI 121</v>
      </c>
      <c r="H95" t="str">
        <f>IFERROR(__xludf.DUMMYFUNCTION("""COMPUTED_VALUE"""),"Matera")</f>
        <v>Matera</v>
      </c>
      <c r="I95">
        <f>IFERROR(__xludf.DUMMYFUNCTION("""COMPUTED_VALUE"""),159.0)</f>
        <v>159</v>
      </c>
      <c r="J95">
        <f>IFERROR(__xludf.DUMMYFUNCTION("""COMPUTED_VALUE"""),4708.0)</f>
        <v>4708</v>
      </c>
      <c r="K95" t="str">
        <f>IFERROR(__xludf.DUMMYFUNCTION("""COMPUTED_VALUE"""),"Italy")</f>
        <v>Italy</v>
      </c>
      <c r="L95">
        <f>IFERROR(__xludf.DUMMYFUNCTION("""COMPUTED_VALUE"""),12.0)</f>
        <v>12</v>
      </c>
      <c r="M95">
        <f>IFERROR(__xludf.DUMMYFUNCTION("""COMPUTED_VALUE"""),2.0)</f>
        <v>2</v>
      </c>
      <c r="N95">
        <f>IFERROR(__xludf.DUMMYFUNCTION("""COMPUTED_VALUE"""),42722.0)</f>
        <v>42722</v>
      </c>
    </row>
    <row r="96">
      <c r="A96">
        <f>IFERROR(__xludf.DUMMYFUNCTION("""COMPUTED_VALUE"""),399.0)</f>
        <v>399</v>
      </c>
      <c r="B96">
        <f>IFERROR(__xludf.DUMMYFUNCTION("""COMPUTED_VALUE"""),40.6684906)</f>
        <v>40.6684906</v>
      </c>
      <c r="C96">
        <f>IFERROR(__xludf.DUMMYFUNCTION("""COMPUTED_VALUE"""),16.5924608)</f>
        <v>16.5924608</v>
      </c>
      <c r="D96" t="str">
        <f>IFERROR(__xludf.DUMMYFUNCTION("""COMPUTED_VALUE"""),"Bed &amp; Breakfast")</f>
        <v>Bed &amp; Breakfast</v>
      </c>
      <c r="E96" t="str">
        <f>IFERROR(__xludf.DUMMYFUNCTION("""COMPUTED_VALUE"""),"DA ANNALISA")</f>
        <v>DA ANNALISA</v>
      </c>
      <c r="F96" t="str">
        <f>IFERROR(__xludf.DUMMYFUNCTION("""COMPUTED_VALUE"""),"MELODIA ANNALISA")</f>
        <v>MELODIA ANNALISA</v>
      </c>
      <c r="G96" t="str">
        <f>IFERROR(__xludf.DUMMYFUNCTION("""COMPUTED_VALUE"""),"VIALE DELLA LIBERTA' 2")</f>
        <v>VIALE DELLA LIBERTA' 2</v>
      </c>
      <c r="H96" t="str">
        <f>IFERROR(__xludf.DUMMYFUNCTION("""COMPUTED_VALUE"""),"Matera")</f>
        <v>Matera</v>
      </c>
      <c r="I96">
        <f>IFERROR(__xludf.DUMMYFUNCTION("""COMPUTED_VALUE"""),69.0)</f>
        <v>69</v>
      </c>
      <c r="J96">
        <f>IFERROR(__xludf.DUMMYFUNCTION("""COMPUTED_VALUE"""),344.0)</f>
        <v>344</v>
      </c>
      <c r="K96" t="str">
        <f>IFERROR(__xludf.DUMMYFUNCTION("""COMPUTED_VALUE"""),"Italy")</f>
        <v>Italy</v>
      </c>
      <c r="L96">
        <f>IFERROR(__xludf.DUMMYFUNCTION("""COMPUTED_VALUE"""),10.0)</f>
        <v>10</v>
      </c>
      <c r="M96">
        <f>IFERROR(__xludf.DUMMYFUNCTION("""COMPUTED_VALUE"""),2.0)</f>
        <v>2</v>
      </c>
      <c r="N96">
        <f>IFERROR(__xludf.DUMMYFUNCTION("""COMPUTED_VALUE"""),42788.0)</f>
        <v>42788</v>
      </c>
    </row>
    <row r="97">
      <c r="A97">
        <f>IFERROR(__xludf.DUMMYFUNCTION("""COMPUTED_VALUE"""),401.0)</f>
        <v>401</v>
      </c>
      <c r="B97">
        <f>IFERROR(__xludf.DUMMYFUNCTION("""COMPUTED_VALUE"""),40.6713)</f>
        <v>40.6713</v>
      </c>
      <c r="C97">
        <f>IFERROR(__xludf.DUMMYFUNCTION("""COMPUTED_VALUE"""),16.6051413)</f>
        <v>16.6051413</v>
      </c>
      <c r="D97" t="str">
        <f>IFERROR(__xludf.DUMMYFUNCTION("""COMPUTED_VALUE"""),"Bed &amp; Breakfast")</f>
        <v>Bed &amp; Breakfast</v>
      </c>
      <c r="E97" t="str">
        <f>IFERROR(__xludf.DUMMYFUNCTION("""COMPUTED_VALUE"""),"MEFITE DIMORA B&amp;B")</f>
        <v>MEFITE DIMORA B&amp;B</v>
      </c>
      <c r="F97" t="str">
        <f>IFERROR(__xludf.DUMMYFUNCTION("""COMPUTED_VALUE"""),"MICHELE FRASCELLA")</f>
        <v>MICHELE FRASCELLA</v>
      </c>
      <c r="G97" t="str">
        <f>IFERROR(__xludf.DUMMYFUNCTION("""COMPUTED_VALUE"""),"VIA ANNUNZIATELLA 34")</f>
        <v>VIA ANNUNZIATELLA 34</v>
      </c>
      <c r="H97" t="str">
        <f>IFERROR(__xludf.DUMMYFUNCTION("""COMPUTED_VALUE"""),"Matera")</f>
        <v>Matera</v>
      </c>
      <c r="I97">
        <f>IFERROR(__xludf.DUMMYFUNCTION("""COMPUTED_VALUE"""),159.0)</f>
        <v>159</v>
      </c>
      <c r="J97">
        <f>IFERROR(__xludf.DUMMYFUNCTION("""COMPUTED_VALUE"""),4037.0)</f>
        <v>4037</v>
      </c>
      <c r="K97" t="str">
        <f>IFERROR(__xludf.DUMMYFUNCTION("""COMPUTED_VALUE"""),"Italy")</f>
        <v>Italy</v>
      </c>
      <c r="L97">
        <f>IFERROR(__xludf.DUMMYFUNCTION("""COMPUTED_VALUE"""),5.0)</f>
        <v>5</v>
      </c>
      <c r="M97">
        <f>IFERROR(__xludf.DUMMYFUNCTION("""COMPUTED_VALUE"""),6.0)</f>
        <v>6</v>
      </c>
      <c r="N97">
        <f>IFERROR(__xludf.DUMMYFUNCTION("""COMPUTED_VALUE"""),42754.0)</f>
        <v>42754</v>
      </c>
    </row>
    <row r="98">
      <c r="A98">
        <f>IFERROR(__xludf.DUMMYFUNCTION("""COMPUTED_VALUE"""),402.0)</f>
        <v>402</v>
      </c>
      <c r="B98">
        <f>IFERROR(__xludf.DUMMYFUNCTION("""COMPUTED_VALUE"""),40.6579563693001)</f>
        <v>40.65795637</v>
      </c>
      <c r="C98">
        <f>IFERROR(__xludf.DUMMYFUNCTION("""COMPUTED_VALUE"""),16.6118296980857)</f>
        <v>16.6118297</v>
      </c>
      <c r="D98" t="str">
        <f>IFERROR(__xludf.DUMMYFUNCTION("""COMPUTED_VALUE"""),"Bed &amp; Breakfast")</f>
        <v>Bed &amp; Breakfast</v>
      </c>
      <c r="E98" t="str">
        <f>IFERROR(__xludf.DUMMYFUNCTION("""COMPUTED_VALUE"""),"I LIKE MATERA")</f>
        <v>I LIKE MATERA</v>
      </c>
      <c r="F98" t="str">
        <f>IFERROR(__xludf.DUMMYFUNCTION("""COMPUTED_VALUE"""),"ANTONIO SACCO")</f>
        <v>ANTONIO SACCO</v>
      </c>
      <c r="G98" t="str">
        <f>IFERROR(__xludf.DUMMYFUNCTION("""COMPUTED_VALUE"""),"VIA M. MORELLI 4")</f>
        <v>VIA M. MORELLI 4</v>
      </c>
      <c r="H98" t="str">
        <f>IFERROR(__xludf.DUMMYFUNCTION("""COMPUTED_VALUE"""),"Matera")</f>
        <v>Matera</v>
      </c>
      <c r="I98">
        <f>IFERROR(__xludf.DUMMYFUNCTION("""COMPUTED_VALUE"""),103.0)</f>
        <v>103</v>
      </c>
      <c r="J98">
        <f>IFERROR(__xludf.DUMMYFUNCTION("""COMPUTED_VALUE"""),52.0)</f>
        <v>52</v>
      </c>
      <c r="K98" t="str">
        <f>IFERROR(__xludf.DUMMYFUNCTION("""COMPUTED_VALUE"""),"Italy")</f>
        <v>Italy</v>
      </c>
      <c r="L98">
        <f>IFERROR(__xludf.DUMMYFUNCTION("""COMPUTED_VALUE"""),7.0)</f>
        <v>7</v>
      </c>
      <c r="M98">
        <f>IFERROR(__xludf.DUMMYFUNCTION("""COMPUTED_VALUE"""),3.0)</f>
        <v>3</v>
      </c>
      <c r="N98">
        <f>IFERROR(__xludf.DUMMYFUNCTION("""COMPUTED_VALUE"""),42838.0)</f>
        <v>42838</v>
      </c>
    </row>
    <row r="99">
      <c r="A99">
        <f>IFERROR(__xludf.DUMMYFUNCTION("""COMPUTED_VALUE"""),404.0)</f>
        <v>404</v>
      </c>
      <c r="B99">
        <f>IFERROR(__xludf.DUMMYFUNCTION("""COMPUTED_VALUE"""),40.673475)</f>
        <v>40.673475</v>
      </c>
      <c r="C99">
        <f>IFERROR(__xludf.DUMMYFUNCTION("""COMPUTED_VALUE"""),16.607125)</f>
        <v>16.607125</v>
      </c>
      <c r="D99" t="str">
        <f>IFERROR(__xludf.DUMMYFUNCTION("""COMPUTED_VALUE"""),"Bed &amp; Breakfast")</f>
        <v>Bed &amp; Breakfast</v>
      </c>
      <c r="E99" t="str">
        <f>IFERROR(__xludf.DUMMYFUNCTION("""COMPUTED_VALUE"""),"DA LUCIANO")</f>
        <v>DA LUCIANO</v>
      </c>
      <c r="F99" t="str">
        <f>IFERROR(__xludf.DUMMYFUNCTION("""COMPUTED_VALUE"""),"SANTARSIA ANNA MARIA")</f>
        <v>SANTARSIA ANNA MARIA</v>
      </c>
      <c r="G99" t="str">
        <f>IFERROR(__xludf.DUMMYFUNCTION("""COMPUTED_VALUE"""),"VIA CERERIE 4")</f>
        <v>VIA CERERIE 4</v>
      </c>
      <c r="H99" t="str">
        <f>IFERROR(__xludf.DUMMYFUNCTION("""COMPUTED_VALUE"""),"Matera")</f>
        <v>Matera</v>
      </c>
      <c r="I99">
        <f>IFERROR(__xludf.DUMMYFUNCTION("""COMPUTED_VALUE"""),72.0)</f>
        <v>72</v>
      </c>
      <c r="J99">
        <f>IFERROR(__xludf.DUMMYFUNCTION("""COMPUTED_VALUE"""),139.0)</f>
        <v>139</v>
      </c>
      <c r="K99" t="str">
        <f>IFERROR(__xludf.DUMMYFUNCTION("""COMPUTED_VALUE"""),"Italy")</f>
        <v>Italy</v>
      </c>
      <c r="L99">
        <f>IFERROR(__xludf.DUMMYFUNCTION("""COMPUTED_VALUE"""),75.0)</f>
        <v>75</v>
      </c>
      <c r="M99">
        <f>IFERROR(__xludf.DUMMYFUNCTION("""COMPUTED_VALUE"""),4.0)</f>
        <v>4</v>
      </c>
      <c r="N99">
        <f>IFERROR(__xludf.DUMMYFUNCTION("""COMPUTED_VALUE"""),42559.0)</f>
        <v>42559</v>
      </c>
    </row>
    <row r="100">
      <c r="A100">
        <f>IFERROR(__xludf.DUMMYFUNCTION("""COMPUTED_VALUE"""),405.0)</f>
        <v>405</v>
      </c>
      <c r="B100">
        <f>IFERROR(__xludf.DUMMYFUNCTION("""COMPUTED_VALUE"""),40.6657214)</f>
        <v>40.6657214</v>
      </c>
      <c r="C100">
        <f>IFERROR(__xludf.DUMMYFUNCTION("""COMPUTED_VALUE"""),16.5938137)</f>
        <v>16.5938137</v>
      </c>
      <c r="D100" t="str">
        <f>IFERROR(__xludf.DUMMYFUNCTION("""COMPUTED_VALUE"""),"Bed &amp; Breakfast")</f>
        <v>Bed &amp; Breakfast</v>
      </c>
      <c r="E100" t="str">
        <f>IFERROR(__xludf.DUMMYFUNCTION("""COMPUTED_VALUE"""),"CASAMIA 2019")</f>
        <v>CASAMIA 2019</v>
      </c>
      <c r="F100" t="str">
        <f>IFERROR(__xludf.DUMMYFUNCTION("""COMPUTED_VALUE"""),"CONCETTA CASAMIA")</f>
        <v>CONCETTA CASAMIA</v>
      </c>
      <c r="G100" t="str">
        <f>IFERROR(__xludf.DUMMYFUNCTION("""COMPUTED_VALUE"""),"VIA SANTA CATERINA DA SIENA 6")</f>
        <v>VIA SANTA CATERINA DA SIENA 6</v>
      </c>
      <c r="H100" t="str">
        <f>IFERROR(__xludf.DUMMYFUNCTION("""COMPUTED_VALUE"""),"Matera")</f>
        <v>Matera</v>
      </c>
      <c r="I100">
        <f>IFERROR(__xludf.DUMMYFUNCTION("""COMPUTED_VALUE"""),67.0)</f>
        <v>67</v>
      </c>
      <c r="J100">
        <f>IFERROR(__xludf.DUMMYFUNCTION("""COMPUTED_VALUE"""),106.0)</f>
        <v>106</v>
      </c>
      <c r="K100" t="str">
        <f>IFERROR(__xludf.DUMMYFUNCTION("""COMPUTED_VALUE"""),"Italy")</f>
        <v>Italy</v>
      </c>
      <c r="L100" t="str">
        <f>IFERROR(__xludf.DUMMYFUNCTION("""COMPUTED_VALUE"""),"")</f>
        <v/>
      </c>
      <c r="M100">
        <f>IFERROR(__xludf.DUMMYFUNCTION("""COMPUTED_VALUE"""),4.0)</f>
        <v>4</v>
      </c>
      <c r="N100">
        <f>IFERROR(__xludf.DUMMYFUNCTION("""COMPUTED_VALUE"""),42395.0)</f>
        <v>42395</v>
      </c>
    </row>
    <row r="101">
      <c r="A101">
        <f>IFERROR(__xludf.DUMMYFUNCTION("""COMPUTED_VALUE"""),406.0)</f>
        <v>406</v>
      </c>
      <c r="B101">
        <f>IFERROR(__xludf.DUMMYFUNCTION("""COMPUTED_VALUE"""),40.6677138)</f>
        <v>40.6677138</v>
      </c>
      <c r="C101">
        <f>IFERROR(__xludf.DUMMYFUNCTION("""COMPUTED_VALUE"""),16.6078866)</f>
        <v>16.6078866</v>
      </c>
      <c r="D101" t="str">
        <f>IFERROR(__xludf.DUMMYFUNCTION("""COMPUTED_VALUE"""),"Bed &amp; Breakfast")</f>
        <v>Bed &amp; Breakfast</v>
      </c>
      <c r="E101" t="str">
        <f>IFERROR(__xludf.DUMMYFUNCTION("""COMPUTED_VALUE"""),"BED &amp; BREAKFAST GIUSTO")</f>
        <v>BED &amp; BREAKFAST GIUSTO</v>
      </c>
      <c r="F101" t="str">
        <f>IFERROR(__xludf.DUMMYFUNCTION("""COMPUTED_VALUE"""),"FRANCESCO GIUSTO")</f>
        <v>FRANCESCO GIUSTO</v>
      </c>
      <c r="G101" t="str">
        <f>IFERROR(__xludf.DUMMYFUNCTION("""COMPUTED_VALUE"""),"VIA LAURA BATTISTA 15")</f>
        <v>VIA LAURA BATTISTA 15</v>
      </c>
      <c r="H101" t="str">
        <f>IFERROR(__xludf.DUMMYFUNCTION("""COMPUTED_VALUE"""),"Matera")</f>
        <v>Matera</v>
      </c>
      <c r="I101">
        <f>IFERROR(__xludf.DUMMYFUNCTION("""COMPUTED_VALUE"""),159.0)</f>
        <v>159</v>
      </c>
      <c r="J101">
        <f>IFERROR(__xludf.DUMMYFUNCTION("""COMPUTED_VALUE"""),3656.0)</f>
        <v>3656</v>
      </c>
      <c r="K101" t="str">
        <f>IFERROR(__xludf.DUMMYFUNCTION("""COMPUTED_VALUE"""),"Italy")</f>
        <v>Italy</v>
      </c>
      <c r="L101">
        <f>IFERROR(__xludf.DUMMYFUNCTION("""COMPUTED_VALUE"""),11.0)</f>
        <v>11</v>
      </c>
      <c r="M101">
        <f>IFERROR(__xludf.DUMMYFUNCTION("""COMPUTED_VALUE"""),2.0)</f>
        <v>2</v>
      </c>
      <c r="N101">
        <f>IFERROR(__xludf.DUMMYFUNCTION("""COMPUTED_VALUE"""),42859.0)</f>
        <v>42859</v>
      </c>
    </row>
    <row r="102">
      <c r="A102">
        <f>IFERROR(__xludf.DUMMYFUNCTION("""COMPUTED_VALUE"""),407.0)</f>
        <v>407</v>
      </c>
      <c r="B102">
        <f>IFERROR(__xludf.DUMMYFUNCTION("""COMPUTED_VALUE"""),40.667691)</f>
        <v>40.667691</v>
      </c>
      <c r="C102">
        <f>IFERROR(__xludf.DUMMYFUNCTION("""COMPUTED_VALUE"""),16.609197)</f>
        <v>16.609197</v>
      </c>
      <c r="D102" t="str">
        <f>IFERROR(__xludf.DUMMYFUNCTION("""COMPUTED_VALUE"""),"Bed &amp; Breakfast")</f>
        <v>Bed &amp; Breakfast</v>
      </c>
      <c r="E102" t="str">
        <f>IFERROR(__xludf.DUMMYFUNCTION("""COMPUTED_VALUE"""),"HOPLITES")</f>
        <v>HOPLITES</v>
      </c>
      <c r="F102" t="str">
        <f>IFERROR(__xludf.DUMMYFUNCTION("""COMPUTED_VALUE"""),"SIMONA LOPERFIDO")</f>
        <v>SIMONA LOPERFIDO</v>
      </c>
      <c r="G102" t="str">
        <f>IFERROR(__xludf.DUMMYFUNCTION("""COMPUTED_VALUE"""),"VIA SAN ROCCO 119")</f>
        <v>VIA SAN ROCCO 119</v>
      </c>
      <c r="H102" t="str">
        <f>IFERROR(__xludf.DUMMYFUNCTION("""COMPUTED_VALUE"""),"Matera")</f>
        <v>Matera</v>
      </c>
      <c r="I102">
        <f>IFERROR(__xludf.DUMMYFUNCTION("""COMPUTED_VALUE"""),159.0)</f>
        <v>159</v>
      </c>
      <c r="J102">
        <f>IFERROR(__xludf.DUMMYFUNCTION("""COMPUTED_VALUE"""),467.0)</f>
        <v>467</v>
      </c>
      <c r="K102" t="str">
        <f>IFERROR(__xludf.DUMMYFUNCTION("""COMPUTED_VALUE"""),"Italy")</f>
        <v>Italy</v>
      </c>
      <c r="L102">
        <f>IFERROR(__xludf.DUMMYFUNCTION("""COMPUTED_VALUE"""),1.0)</f>
        <v>1</v>
      </c>
      <c r="M102">
        <f>IFERROR(__xludf.DUMMYFUNCTION("""COMPUTED_VALUE"""),8.0)</f>
        <v>8</v>
      </c>
      <c r="N102">
        <f>IFERROR(__xludf.DUMMYFUNCTION("""COMPUTED_VALUE"""),42863.0)</f>
        <v>42863</v>
      </c>
    </row>
    <row r="103">
      <c r="A103">
        <f>IFERROR(__xludf.DUMMYFUNCTION("""COMPUTED_VALUE"""),408.0)</f>
        <v>408</v>
      </c>
      <c r="B103">
        <f>IFERROR(__xludf.DUMMYFUNCTION("""COMPUTED_VALUE"""),40.6655016)</f>
        <v>40.6655016</v>
      </c>
      <c r="C103">
        <f>IFERROR(__xludf.DUMMYFUNCTION("""COMPUTED_VALUE"""),16.603939)</f>
        <v>16.603939</v>
      </c>
      <c r="D103" t="str">
        <f>IFERROR(__xludf.DUMMYFUNCTION("""COMPUTED_VALUE"""),"Bed &amp; Breakfast")</f>
        <v>Bed &amp; Breakfast</v>
      </c>
      <c r="E103" t="str">
        <f>IFERROR(__xludf.DUMMYFUNCTION("""COMPUTED_VALUE"""),"B &amp; B AURELIA")</f>
        <v>B &amp; B AURELIA</v>
      </c>
      <c r="F103" t="str">
        <f>IFERROR(__xludf.DUMMYFUNCTION("""COMPUTED_VALUE"""),"MARIA ROSARIA LIANTONIO")</f>
        <v>MARIA ROSARIA LIANTONIO</v>
      </c>
      <c r="G103" t="str">
        <f>IFERROR(__xludf.DUMMYFUNCTION("""COMPUTED_VALUE"""),"VIA TORRACA  23")</f>
        <v>VIA TORRACA  23</v>
      </c>
      <c r="H103" t="str">
        <f>IFERROR(__xludf.DUMMYFUNCTION("""COMPUTED_VALUE"""),"Matera")</f>
        <v>Matera</v>
      </c>
      <c r="I103">
        <f>IFERROR(__xludf.DUMMYFUNCTION("""COMPUTED_VALUE"""),71.0)</f>
        <v>71</v>
      </c>
      <c r="J103">
        <f>IFERROR(__xludf.DUMMYFUNCTION("""COMPUTED_VALUE"""),256.0)</f>
        <v>256</v>
      </c>
      <c r="K103" t="str">
        <f>IFERROR(__xludf.DUMMYFUNCTION("""COMPUTED_VALUE"""),"Italy")</f>
        <v>Italy</v>
      </c>
      <c r="L103" t="str">
        <f>IFERROR(__xludf.DUMMYFUNCTION("""COMPUTED_VALUE"""),"")</f>
        <v/>
      </c>
      <c r="M103">
        <f>IFERROR(__xludf.DUMMYFUNCTION("""COMPUTED_VALUE"""),6.0)</f>
        <v>6</v>
      </c>
      <c r="N103">
        <f>IFERROR(__xludf.DUMMYFUNCTION("""COMPUTED_VALUE"""),42924.0)</f>
        <v>42924</v>
      </c>
    </row>
    <row r="104">
      <c r="A104">
        <f>IFERROR(__xludf.DUMMYFUNCTION("""COMPUTED_VALUE"""),409.0)</f>
        <v>409</v>
      </c>
      <c r="B104">
        <f>IFERROR(__xludf.DUMMYFUNCTION("""COMPUTED_VALUE"""),40.6710931)</f>
        <v>40.6710931</v>
      </c>
      <c r="C104">
        <f>IFERROR(__xludf.DUMMYFUNCTION("""COMPUTED_VALUE"""),16.6086155)</f>
        <v>16.6086155</v>
      </c>
      <c r="D104" t="str">
        <f>IFERROR(__xludf.DUMMYFUNCTION("""COMPUTED_VALUE"""),"Bed &amp; Breakfast")</f>
        <v>Bed &amp; Breakfast</v>
      </c>
      <c r="E104" t="str">
        <f>IFERROR(__xludf.DUMMYFUNCTION("""COMPUTED_VALUE"""),"LA CORTE DEGLI ARTIGIANI")</f>
        <v>LA CORTE DEGLI ARTIGIANI</v>
      </c>
      <c r="F104" t="str">
        <f>IFERROR(__xludf.DUMMYFUNCTION("""COMPUTED_VALUE"""),"SACCO CLAUDIA")</f>
        <v>SACCO CLAUDIA</v>
      </c>
      <c r="G104" t="str">
        <f>IFERROR(__xludf.DUMMYFUNCTION("""COMPUTED_VALUE"""),"VIA SANTO STEFANO 26")</f>
        <v>VIA SANTO STEFANO 26</v>
      </c>
      <c r="H104" t="str">
        <f>IFERROR(__xludf.DUMMYFUNCTION("""COMPUTED_VALUE"""),"Matera")</f>
        <v>Matera</v>
      </c>
      <c r="I104">
        <f>IFERROR(__xludf.DUMMYFUNCTION("""COMPUTED_VALUE"""),159.0)</f>
        <v>159</v>
      </c>
      <c r="J104">
        <f>IFERROR(__xludf.DUMMYFUNCTION("""COMPUTED_VALUE"""),2.0)</f>
        <v>2</v>
      </c>
      <c r="K104" t="str">
        <f>IFERROR(__xludf.DUMMYFUNCTION("""COMPUTED_VALUE"""),"Italy")</f>
        <v>Italy</v>
      </c>
      <c r="L104">
        <f>IFERROR(__xludf.DUMMYFUNCTION("""COMPUTED_VALUE"""),28.0)</f>
        <v>28</v>
      </c>
      <c r="M104" t="str">
        <f>IFERROR(__xludf.DUMMYFUNCTION("""COMPUTED_VALUE"""),"")</f>
        <v/>
      </c>
      <c r="N104">
        <f>IFERROR(__xludf.DUMMYFUNCTION("""COMPUTED_VALUE"""),42944.0)</f>
        <v>42944</v>
      </c>
    </row>
    <row r="105">
      <c r="A105">
        <f>IFERROR(__xludf.DUMMYFUNCTION("""COMPUTED_VALUE"""),410.0)</f>
        <v>410</v>
      </c>
      <c r="B105">
        <f>IFERROR(__xludf.DUMMYFUNCTION("""COMPUTED_VALUE"""),40.6810388)</f>
        <v>40.6810388</v>
      </c>
      <c r="C105">
        <f>IFERROR(__xludf.DUMMYFUNCTION("""COMPUTED_VALUE"""),16.6238437)</f>
        <v>16.6238437</v>
      </c>
      <c r="D105" t="str">
        <f>IFERROR(__xludf.DUMMYFUNCTION("""COMPUTED_VALUE"""),"Bed &amp; Breakfast")</f>
        <v>Bed &amp; Breakfast</v>
      </c>
      <c r="E105" t="str">
        <f>IFERROR(__xludf.DUMMYFUNCTION("""COMPUTED_VALUE"""),"IL CASALE VERDE")</f>
        <v>IL CASALE VERDE</v>
      </c>
      <c r="F105" t="str">
        <f>IFERROR(__xludf.DUMMYFUNCTION("""COMPUTED_VALUE"""),"ROSANNA MATERA")</f>
        <v>ROSANNA MATERA</v>
      </c>
      <c r="G105" t="str">
        <f>IFERROR(__xludf.DUMMYFUNCTION("""COMPUTED_VALUE"""),"C.DA PEDALE DELLA PALOMBA")</f>
        <v>C.DA PEDALE DELLA PALOMBA</v>
      </c>
      <c r="H105" t="str">
        <f>IFERROR(__xludf.DUMMYFUNCTION("""COMPUTED_VALUE"""),"Matera")</f>
        <v>Matera</v>
      </c>
      <c r="I105">
        <f>IFERROR(__xludf.DUMMYFUNCTION("""COMPUTED_VALUE"""),53.0)</f>
        <v>53</v>
      </c>
      <c r="J105">
        <f>IFERROR(__xludf.DUMMYFUNCTION("""COMPUTED_VALUE"""),266.0)</f>
        <v>266</v>
      </c>
      <c r="K105" t="str">
        <f>IFERROR(__xludf.DUMMYFUNCTION("""COMPUTED_VALUE"""),"Italy")</f>
        <v>Italy</v>
      </c>
      <c r="L105">
        <f>IFERROR(__xludf.DUMMYFUNCTION("""COMPUTED_VALUE"""),7.0)</f>
        <v>7</v>
      </c>
      <c r="M105">
        <f>IFERROR(__xludf.DUMMYFUNCTION("""COMPUTED_VALUE"""),3.0)</f>
        <v>3</v>
      </c>
      <c r="N105">
        <f>IFERROR(__xludf.DUMMYFUNCTION("""COMPUTED_VALUE"""),42993.0)</f>
        <v>42993</v>
      </c>
    </row>
    <row r="106">
      <c r="A106">
        <f>IFERROR(__xludf.DUMMYFUNCTION("""COMPUTED_VALUE"""),411.0)</f>
        <v>411</v>
      </c>
      <c r="B106">
        <f>IFERROR(__xludf.DUMMYFUNCTION("""COMPUTED_VALUE"""),40.6674937)</f>
        <v>40.6674937</v>
      </c>
      <c r="C106">
        <f>IFERROR(__xludf.DUMMYFUNCTION("""COMPUTED_VALUE"""),16.6045006)</f>
        <v>16.6045006</v>
      </c>
      <c r="D106" t="str">
        <f>IFERROR(__xludf.DUMMYFUNCTION("""COMPUTED_VALUE"""),"Bed &amp; Breakfast")</f>
        <v>Bed &amp; Breakfast</v>
      </c>
      <c r="E106" t="str">
        <f>IFERROR(__xludf.DUMMYFUNCTION("""COMPUTED_VALUE"""),"LE NOTTI SUI SASSI")</f>
        <v>LE NOTTI SUI SASSI</v>
      </c>
      <c r="F106" t="str">
        <f>IFERROR(__xludf.DUMMYFUNCTION("""COMPUTED_VALUE"""),"FESTA COSIMO DAMIANO")</f>
        <v>FESTA COSIMO DAMIANO</v>
      </c>
      <c r="G106" t="str">
        <f>IFERROR(__xludf.DUMMYFUNCTION("""COMPUTED_VALUE"""),"VIA LUCANA 262")</f>
        <v>VIA LUCANA 262</v>
      </c>
      <c r="H106" t="str">
        <f>IFERROR(__xludf.DUMMYFUNCTION("""COMPUTED_VALUE"""),"Matera")</f>
        <v>Matera</v>
      </c>
      <c r="I106">
        <f>IFERROR(__xludf.DUMMYFUNCTION("""COMPUTED_VALUE"""),103.0)</f>
        <v>103</v>
      </c>
      <c r="J106">
        <f>IFERROR(__xludf.DUMMYFUNCTION("""COMPUTED_VALUE"""),258.0)</f>
        <v>258</v>
      </c>
      <c r="K106" t="str">
        <f>IFERROR(__xludf.DUMMYFUNCTION("""COMPUTED_VALUE"""),"Italy")</f>
        <v>Italy</v>
      </c>
      <c r="L106">
        <f>IFERROR(__xludf.DUMMYFUNCTION("""COMPUTED_VALUE"""),8.0)</f>
        <v>8</v>
      </c>
      <c r="M106">
        <f>IFERROR(__xludf.DUMMYFUNCTION("""COMPUTED_VALUE"""),2.0)</f>
        <v>2</v>
      </c>
      <c r="N106">
        <f>IFERROR(__xludf.DUMMYFUNCTION("""COMPUTED_VALUE"""),43045.0)</f>
        <v>43045</v>
      </c>
    </row>
    <row r="107">
      <c r="A107">
        <f>IFERROR(__xludf.DUMMYFUNCTION("""COMPUTED_VALUE"""),412.0)</f>
        <v>412</v>
      </c>
      <c r="B107">
        <f>IFERROR(__xludf.DUMMYFUNCTION("""COMPUTED_VALUE"""),40.6633785)</f>
        <v>40.6633785</v>
      </c>
      <c r="C107">
        <f>IFERROR(__xludf.DUMMYFUNCTION("""COMPUTED_VALUE"""),16.6119767)</f>
        <v>16.6119767</v>
      </c>
      <c r="D107" t="str">
        <f>IFERROR(__xludf.DUMMYFUNCTION("""COMPUTED_VALUE"""),"Bed &amp; Breakfast")</f>
        <v>Bed &amp; Breakfast</v>
      </c>
      <c r="E107" t="str">
        <f>IFERROR(__xludf.DUMMYFUNCTION("""COMPUTED_VALUE"""),"UN POSTO A MALVE")</f>
        <v>UN POSTO A MALVE</v>
      </c>
      <c r="F107" t="str">
        <f>IFERROR(__xludf.DUMMYFUNCTION("""COMPUTED_VALUE"""),"SAPONARO LEONARDO ANTONIO")</f>
        <v>SAPONARO LEONARDO ANTONIO</v>
      </c>
      <c r="G107" t="str">
        <f>IFERROR(__xludf.DUMMYFUNCTION("""COMPUTED_VALUE"""),"RIONE MALVE 23")</f>
        <v>RIONE MALVE 23</v>
      </c>
      <c r="H107" t="str">
        <f>IFERROR(__xludf.DUMMYFUNCTION("""COMPUTED_VALUE"""),"Matera")</f>
        <v>Matera</v>
      </c>
      <c r="I107">
        <f>IFERROR(__xludf.DUMMYFUNCTION("""COMPUTED_VALUE"""),159.0)</f>
        <v>159</v>
      </c>
      <c r="J107">
        <f>IFERROR(__xludf.DUMMYFUNCTION("""COMPUTED_VALUE"""),2187.0)</f>
        <v>2187</v>
      </c>
      <c r="K107" t="str">
        <f>IFERROR(__xludf.DUMMYFUNCTION("""COMPUTED_VALUE"""),"Italy")</f>
        <v>Italy</v>
      </c>
      <c r="L107">
        <f>IFERROR(__xludf.DUMMYFUNCTION("""COMPUTED_VALUE"""),6.0)</f>
        <v>6</v>
      </c>
      <c r="M107">
        <f>IFERROR(__xludf.DUMMYFUNCTION("""COMPUTED_VALUE"""),3.0)</f>
        <v>3</v>
      </c>
      <c r="N107">
        <f>IFERROR(__xludf.DUMMYFUNCTION("""COMPUTED_VALUE"""),43071.0)</f>
        <v>43071</v>
      </c>
    </row>
    <row r="108">
      <c r="A108">
        <f>IFERROR(__xludf.DUMMYFUNCTION("""COMPUTED_VALUE"""),413.0)</f>
        <v>413</v>
      </c>
      <c r="B108">
        <f>IFERROR(__xludf.DUMMYFUNCTION("""COMPUTED_VALUE"""),40.6719431)</f>
        <v>40.6719431</v>
      </c>
      <c r="C108">
        <f>IFERROR(__xludf.DUMMYFUNCTION("""COMPUTED_VALUE"""),16.6084047)</f>
        <v>16.6084047</v>
      </c>
      <c r="D108" t="str">
        <f>IFERROR(__xludf.DUMMYFUNCTION("""COMPUTED_VALUE"""),"Bed &amp; Breakfast")</f>
        <v>Bed &amp; Breakfast</v>
      </c>
      <c r="E108" t="str">
        <f>IFERROR(__xludf.DUMMYFUNCTION("""COMPUTED_VALUE"""),"IL PECCATO ORIGINALE")</f>
        <v>IL PECCATO ORIGINALE</v>
      </c>
      <c r="F108" t="str">
        <f>IFERROR(__xludf.DUMMYFUNCTION("""COMPUTED_VALUE"""),"GIOVANNI AZZONE")</f>
        <v>GIOVANNI AZZONE</v>
      </c>
      <c r="G108" t="str">
        <f>IFERROR(__xludf.DUMMYFUNCTION("""COMPUTED_VALUE"""),"VIA SANTO STEFANO 60")</f>
        <v>VIA SANTO STEFANO 60</v>
      </c>
      <c r="H108" t="str">
        <f>IFERROR(__xludf.DUMMYFUNCTION("""COMPUTED_VALUE"""),"Matera")</f>
        <v>Matera</v>
      </c>
      <c r="I108">
        <f>IFERROR(__xludf.DUMMYFUNCTION("""COMPUTED_VALUE"""),159.0)</f>
        <v>159</v>
      </c>
      <c r="J108">
        <f>IFERROR(__xludf.DUMMYFUNCTION("""COMPUTED_VALUE"""),2892.0)</f>
        <v>2892</v>
      </c>
      <c r="K108" t="str">
        <f>IFERROR(__xludf.DUMMYFUNCTION("""COMPUTED_VALUE"""),"Italy")</f>
        <v>Italy</v>
      </c>
      <c r="L108">
        <f>IFERROR(__xludf.DUMMYFUNCTION("""COMPUTED_VALUE"""),1.0)</f>
        <v>1</v>
      </c>
      <c r="M108">
        <f>IFERROR(__xludf.DUMMYFUNCTION("""COMPUTED_VALUE"""),5.0)</f>
        <v>5</v>
      </c>
      <c r="N108">
        <f>IFERROR(__xludf.DUMMYFUNCTION("""COMPUTED_VALUE"""),43122.0)</f>
        <v>43122</v>
      </c>
    </row>
    <row r="109">
      <c r="A109">
        <f>IFERROR(__xludf.DUMMYFUNCTION("""COMPUTED_VALUE"""),721.0)</f>
        <v>721</v>
      </c>
      <c r="B109">
        <f>IFERROR(__xludf.DUMMYFUNCTION("""COMPUTED_VALUE"""),40.6593535501224)</f>
        <v>40.65935355</v>
      </c>
      <c r="C109">
        <f>IFERROR(__xludf.DUMMYFUNCTION("""COMPUTED_VALUE"""),16.531707083728)</f>
        <v>16.53170708</v>
      </c>
      <c r="D109" t="str">
        <f>IFERROR(__xludf.DUMMYFUNCTION("""COMPUTED_VALUE"""),"Bed &amp; Breakfast")</f>
        <v>Bed &amp; Breakfast</v>
      </c>
      <c r="E109" t="str">
        <f>IFERROR(__xludf.DUMMYFUNCTION("""COMPUTED_VALUE"""),"AL BORGO")</f>
        <v>AL BORGO</v>
      </c>
      <c r="F109" t="str">
        <f>IFERROR(__xludf.DUMMYFUNCTION("""COMPUTED_VALUE"""),"SCARCIOLLA EUSTACHIO VINCENZO")</f>
        <v>SCARCIOLLA EUSTACHIO VINCENZO</v>
      </c>
      <c r="G109" t="str">
        <f>IFERROR(__xludf.DUMMYFUNCTION("""COMPUTED_VALUE"""),"via Tagliamento 2")</f>
        <v>via Tagliamento 2</v>
      </c>
      <c r="H109" t="str">
        <f>IFERROR(__xludf.DUMMYFUNCTION("""COMPUTED_VALUE"""),"Matera")</f>
        <v>Matera</v>
      </c>
      <c r="I109">
        <f>IFERROR(__xludf.DUMMYFUNCTION("""COMPUTED_VALUE"""),65.0)</f>
        <v>65</v>
      </c>
      <c r="J109">
        <f>IFERROR(__xludf.DUMMYFUNCTION("""COMPUTED_VALUE"""),2454.0)</f>
        <v>2454</v>
      </c>
      <c r="K109" t="str">
        <f>IFERROR(__xludf.DUMMYFUNCTION("""COMPUTED_VALUE"""),"Italy")</f>
        <v>Italy</v>
      </c>
      <c r="L109">
        <f>IFERROR(__xludf.DUMMYFUNCTION("""COMPUTED_VALUE"""),3.0)</f>
        <v>3</v>
      </c>
      <c r="M109">
        <f>IFERROR(__xludf.DUMMYFUNCTION("""COMPUTED_VALUE"""),6.0)</f>
        <v>6</v>
      </c>
      <c r="N109">
        <f>IFERROR(__xludf.DUMMYFUNCTION("""COMPUTED_VALUE"""),42775.0)</f>
        <v>42775</v>
      </c>
    </row>
    <row r="110">
      <c r="A110">
        <f>IFERROR(__xludf.DUMMYFUNCTION("""COMPUTED_VALUE"""),722.0)</f>
        <v>722</v>
      </c>
      <c r="B110">
        <f>IFERROR(__xludf.DUMMYFUNCTION("""COMPUTED_VALUE"""),40.668927)</f>
        <v>40.668927</v>
      </c>
      <c r="C110">
        <f>IFERROR(__xludf.DUMMYFUNCTION("""COMPUTED_VALUE"""),16.610487)</f>
        <v>16.610487</v>
      </c>
      <c r="D110" t="str">
        <f>IFERROR(__xludf.DUMMYFUNCTION("""COMPUTED_VALUE"""),"Bed &amp; Breakfast")</f>
        <v>Bed &amp; Breakfast</v>
      </c>
      <c r="E110" t="str">
        <f>IFERROR(__xludf.DUMMYFUNCTION("""COMPUTED_VALUE"""),"DELLE VIRTU'")</f>
        <v>DELLE VIRTU'</v>
      </c>
      <c r="F110" t="str">
        <f>IFERROR(__xludf.DUMMYFUNCTION("""COMPUTED_VALUE"""),"GENCO MARIANNA")</f>
        <v>GENCO MARIANNA</v>
      </c>
      <c r="G110" t="str">
        <f>IFERROR(__xludf.DUMMYFUNCTION("""COMPUTED_VALUE"""),"via Casale 63")</f>
        <v>via Casale 63</v>
      </c>
      <c r="H110" t="str">
        <f>IFERROR(__xludf.DUMMYFUNCTION("""COMPUTED_VALUE"""),"Matera")</f>
        <v>Matera</v>
      </c>
      <c r="I110" t="str">
        <f>IFERROR(__xludf.DUMMYFUNCTION("""COMPUTED_VALUE"""),"")</f>
        <v/>
      </c>
      <c r="J110" t="str">
        <f>IFERROR(__xludf.DUMMYFUNCTION("""COMPUTED_VALUE"""),"")</f>
        <v/>
      </c>
      <c r="K110" t="str">
        <f>IFERROR(__xludf.DUMMYFUNCTION("""COMPUTED_VALUE"""),"Italy")</f>
        <v>Italy</v>
      </c>
      <c r="L110" t="str">
        <f>IFERROR(__xludf.DUMMYFUNCTION("""COMPUTED_VALUE"""),"")</f>
        <v/>
      </c>
      <c r="M110" t="str">
        <f>IFERROR(__xludf.DUMMYFUNCTION("""COMPUTED_VALUE"""),"")</f>
        <v/>
      </c>
      <c r="N110">
        <f>IFERROR(__xludf.DUMMYFUNCTION("""COMPUTED_VALUE"""),38764.0)</f>
        <v>38764</v>
      </c>
    </row>
    <row r="111">
      <c r="A111">
        <f>IFERROR(__xludf.DUMMYFUNCTION("""COMPUTED_VALUE"""),723.0)</f>
        <v>723</v>
      </c>
      <c r="B111">
        <f>IFERROR(__xludf.DUMMYFUNCTION("""COMPUTED_VALUE"""),40.661286)</f>
        <v>40.661286</v>
      </c>
      <c r="C111">
        <f>IFERROR(__xludf.DUMMYFUNCTION("""COMPUTED_VALUE"""),16.611772)</f>
        <v>16.611772</v>
      </c>
      <c r="D111" t="str">
        <f>IFERROR(__xludf.DUMMYFUNCTION("""COMPUTED_VALUE"""),"Bed &amp; Breakfast")</f>
        <v>Bed &amp; Breakfast</v>
      </c>
      <c r="E111" t="str">
        <f>IFERROR(__xludf.DUMMYFUNCTION("""COMPUTED_VALUE"""),"DOMINA SASSI ROOMS")</f>
        <v>DOMINA SASSI ROOMS</v>
      </c>
      <c r="F111" t="str">
        <f>IFERROR(__xludf.DUMMYFUNCTION("""COMPUTED_VALUE"""),"MOLITERNI MARIA RAFFAELLA")</f>
        <v>MOLITERNI MARIA RAFFAELLA</v>
      </c>
      <c r="G111" t="str">
        <f>IFERROR(__xludf.DUMMYFUNCTION("""COMPUTED_VALUE"""),"via san francesco paolo vecchio 22/23")</f>
        <v>via san francesco paolo vecchio 22/23</v>
      </c>
      <c r="H111" t="str">
        <f>IFERROR(__xludf.DUMMYFUNCTION("""COMPUTED_VALUE"""),"Matera")</f>
        <v>Matera</v>
      </c>
      <c r="I111" t="str">
        <f>IFERROR(__xludf.DUMMYFUNCTION("""COMPUTED_VALUE"""),"")</f>
        <v/>
      </c>
      <c r="J111" t="str">
        <f>IFERROR(__xludf.DUMMYFUNCTION("""COMPUTED_VALUE"""),"")</f>
        <v/>
      </c>
      <c r="K111" t="str">
        <f>IFERROR(__xludf.DUMMYFUNCTION("""COMPUTED_VALUE"""),"Italy")</f>
        <v>Italy</v>
      </c>
      <c r="L111" t="str">
        <f>IFERROR(__xludf.DUMMYFUNCTION("""COMPUTED_VALUE"""),"")</f>
        <v/>
      </c>
      <c r="M111">
        <f>IFERROR(__xludf.DUMMYFUNCTION("""COMPUTED_VALUE"""),6.0)</f>
        <v>6</v>
      </c>
      <c r="N111">
        <f>IFERROR(__xludf.DUMMYFUNCTION("""COMPUTED_VALUE"""),42320.0)</f>
        <v>42320</v>
      </c>
    </row>
    <row r="112">
      <c r="A112">
        <f>IFERROR(__xludf.DUMMYFUNCTION("""COMPUTED_VALUE"""),724.0)</f>
        <v>724</v>
      </c>
      <c r="B112">
        <f>IFERROR(__xludf.DUMMYFUNCTION("""COMPUTED_VALUE"""),40.6631366080187)</f>
        <v>40.66313661</v>
      </c>
      <c r="C112">
        <f>IFERROR(__xludf.DUMMYFUNCTION("""COMPUTED_VALUE"""),16.6116609783975)</f>
        <v>16.61166098</v>
      </c>
      <c r="D112" t="str">
        <f>IFERROR(__xludf.DUMMYFUNCTION("""COMPUTED_VALUE"""),"Bed &amp; Breakfast")</f>
        <v>Bed &amp; Breakfast</v>
      </c>
      <c r="E112" t="str">
        <f>IFERROR(__xludf.DUMMYFUNCTION("""COMPUTED_VALUE"""),"EN SUITE")</f>
        <v>EN SUITE</v>
      </c>
      <c r="F112" t="str">
        <f>IFERROR(__xludf.DUMMYFUNCTION("""COMPUTED_VALUE"""),"EMMA ANNAGRAZIA MARIA")</f>
        <v>EMMA ANNAGRAZIA MARIA</v>
      </c>
      <c r="G112" t="str">
        <f>IFERROR(__xludf.DUMMYFUNCTION("""COMPUTED_VALUE"""),"vico Confalone 2")</f>
        <v>vico Confalone 2</v>
      </c>
      <c r="H112" t="str">
        <f>IFERROR(__xludf.DUMMYFUNCTION("""COMPUTED_VALUE"""),"Matera")</f>
        <v>Matera</v>
      </c>
      <c r="I112">
        <f>IFERROR(__xludf.DUMMYFUNCTION("""COMPUTED_VALUE"""),159.0)</f>
        <v>159</v>
      </c>
      <c r="J112">
        <f>IFERROR(__xludf.DUMMYFUNCTION("""COMPUTED_VALUE"""),2062.0)</f>
        <v>2062</v>
      </c>
      <c r="K112" t="str">
        <f>IFERROR(__xludf.DUMMYFUNCTION("""COMPUTED_VALUE"""),"Italy")</f>
        <v>Italy</v>
      </c>
      <c r="L112">
        <f>IFERROR(__xludf.DUMMYFUNCTION("""COMPUTED_VALUE"""),1.0)</f>
        <v>1</v>
      </c>
      <c r="M112">
        <f>IFERROR(__xludf.DUMMYFUNCTION("""COMPUTED_VALUE"""),4.0)</f>
        <v>4</v>
      </c>
      <c r="N112">
        <f>IFERROR(__xludf.DUMMYFUNCTION("""COMPUTED_VALUE"""),42000.0)</f>
        <v>42000</v>
      </c>
    </row>
    <row r="113">
      <c r="A113">
        <f>IFERROR(__xludf.DUMMYFUNCTION("""COMPUTED_VALUE"""),725.0)</f>
        <v>725</v>
      </c>
      <c r="B113">
        <f>IFERROR(__xludf.DUMMYFUNCTION("""COMPUTED_VALUE"""),40.6428371166833)</f>
        <v>40.64283712</v>
      </c>
      <c r="C113">
        <f>IFERROR(__xludf.DUMMYFUNCTION("""COMPUTED_VALUE"""),16.6247576650556)</f>
        <v>16.62475767</v>
      </c>
      <c r="D113" t="str">
        <f>IFERROR(__xludf.DUMMYFUNCTION("""COMPUTED_VALUE"""),"Bed &amp; Breakfast")</f>
        <v>Bed &amp; Breakfast</v>
      </c>
      <c r="E113" t="str">
        <f>IFERROR(__xludf.DUMMYFUNCTION("""COMPUTED_VALUE"""),"SOLACIUM")</f>
        <v>SOLACIUM</v>
      </c>
      <c r="F113" t="str">
        <f>IFERROR(__xludf.DUMMYFUNCTION("""COMPUTED_VALUE"""),"CATALDO DI PEDE")</f>
        <v>CATALDO DI PEDE</v>
      </c>
      <c r="G113" t="str">
        <f>IFERROR(__xludf.DUMMYFUNCTION("""COMPUTED_VALUE"""),"via t. ricciardi 63")</f>
        <v>via t. ricciardi 63</v>
      </c>
      <c r="H113" t="str">
        <f>IFERROR(__xludf.DUMMYFUNCTION("""COMPUTED_VALUE"""),"Matera")</f>
        <v>Matera</v>
      </c>
      <c r="I113">
        <f>IFERROR(__xludf.DUMMYFUNCTION("""COMPUTED_VALUE"""),114.0)</f>
        <v>114</v>
      </c>
      <c r="J113">
        <f>IFERROR(__xludf.DUMMYFUNCTION("""COMPUTED_VALUE"""),284.0)</f>
        <v>284</v>
      </c>
      <c r="K113" t="str">
        <f>IFERROR(__xludf.DUMMYFUNCTION("""COMPUTED_VALUE"""),"Italy")</f>
        <v>Italy</v>
      </c>
      <c r="L113">
        <f>IFERROR(__xludf.DUMMYFUNCTION("""COMPUTED_VALUE"""),4.0)</f>
        <v>4</v>
      </c>
      <c r="M113">
        <f>IFERROR(__xludf.DUMMYFUNCTION("""COMPUTED_VALUE"""),6.0)</f>
        <v>6</v>
      </c>
      <c r="N113">
        <f>IFERROR(__xludf.DUMMYFUNCTION("""COMPUTED_VALUE"""),41117.0)</f>
        <v>41117</v>
      </c>
    </row>
    <row r="114">
      <c r="A114">
        <f>IFERROR(__xludf.DUMMYFUNCTION("""COMPUTED_VALUE"""),726.0)</f>
        <v>726</v>
      </c>
      <c r="B114">
        <f>IFERROR(__xludf.DUMMYFUNCTION("""COMPUTED_VALUE"""),40.664696)</f>
        <v>40.664696</v>
      </c>
      <c r="C114">
        <f>IFERROR(__xludf.DUMMYFUNCTION("""COMPUTED_VALUE"""),16.610535)</f>
        <v>16.610535</v>
      </c>
      <c r="D114" t="str">
        <f>IFERROR(__xludf.DUMMYFUNCTION("""COMPUTED_VALUE"""),"Bed &amp; Breakfast")</f>
        <v>Bed &amp; Breakfast</v>
      </c>
      <c r="E114" t="str">
        <f>IFERROR(__xludf.DUMMYFUNCTION("""COMPUTED_VALUE"""),"1824 SASSO SCRITTO")</f>
        <v>1824 SASSO SCRITTO</v>
      </c>
      <c r="F114" t="str">
        <f>IFERROR(__xludf.DUMMYFUNCTION("""COMPUTED_VALUE"""),"RENZI VITTORIA")</f>
        <v>RENZI VITTORIA</v>
      </c>
      <c r="G114" t="str">
        <f>IFERROR(__xludf.DUMMYFUNCTION("""COMPUTED_VALUE"""),"via Pennino 8/11")</f>
        <v>via Pennino 8/11</v>
      </c>
      <c r="H114" t="str">
        <f>IFERROR(__xludf.DUMMYFUNCTION("""COMPUTED_VALUE"""),"Matera")</f>
        <v>Matera</v>
      </c>
      <c r="I114" t="str">
        <f>IFERROR(__xludf.DUMMYFUNCTION("""COMPUTED_VALUE"""),"")</f>
        <v/>
      </c>
      <c r="J114" t="str">
        <f>IFERROR(__xludf.DUMMYFUNCTION("""COMPUTED_VALUE"""),"")</f>
        <v/>
      </c>
      <c r="K114" t="str">
        <f>IFERROR(__xludf.DUMMYFUNCTION("""COMPUTED_VALUE"""),"Italy")</f>
        <v>Italy</v>
      </c>
      <c r="L114" t="str">
        <f>IFERROR(__xludf.DUMMYFUNCTION("""COMPUTED_VALUE"""),"")</f>
        <v/>
      </c>
      <c r="M114">
        <f>IFERROR(__xludf.DUMMYFUNCTION("""COMPUTED_VALUE"""),2.0)</f>
        <v>2</v>
      </c>
      <c r="N114">
        <f>IFERROR(__xludf.DUMMYFUNCTION("""COMPUTED_VALUE"""),38082.0)</f>
        <v>38082</v>
      </c>
    </row>
    <row r="115">
      <c r="A115">
        <f>IFERROR(__xludf.DUMMYFUNCTION("""COMPUTED_VALUE"""),727.0)</f>
        <v>727</v>
      </c>
      <c r="B115">
        <f>IFERROR(__xludf.DUMMYFUNCTION("""COMPUTED_VALUE"""),40.6689529627776)</f>
        <v>40.66895296</v>
      </c>
      <c r="C115">
        <f>IFERROR(__xludf.DUMMYFUNCTION("""COMPUTED_VALUE"""),16.6068287405405)</f>
        <v>16.60682874</v>
      </c>
      <c r="D115" t="str">
        <f>IFERROR(__xludf.DUMMYFUNCTION("""COMPUTED_VALUE"""),"Bed &amp; Breakfast")</f>
        <v>Bed &amp; Breakfast</v>
      </c>
      <c r="E115" t="str">
        <f>IFERROR(__xludf.DUMMYFUNCTION("""COMPUTED_VALUE"""),"A CASA MIA")</f>
        <v>A CASA MIA</v>
      </c>
      <c r="F115" t="str">
        <f>IFERROR(__xludf.DUMMYFUNCTION("""COMPUTED_VALUE"""),"ANDREINA GUARINI")</f>
        <v>ANDREINA GUARINI</v>
      </c>
      <c r="G115" t="str">
        <f>IFERROR(__xludf.DUMMYFUNCTION("""COMPUTED_VALUE"""),"REC. MARIO PAGANO 5")</f>
        <v>REC. MARIO PAGANO 5</v>
      </c>
      <c r="H115" t="str">
        <f>IFERROR(__xludf.DUMMYFUNCTION("""COMPUTED_VALUE"""),"Matera")</f>
        <v>Matera</v>
      </c>
      <c r="I115">
        <f>IFERROR(__xludf.DUMMYFUNCTION("""COMPUTED_VALUE"""),159.0)</f>
        <v>159</v>
      </c>
      <c r="J115">
        <f>IFERROR(__xludf.DUMMYFUNCTION("""COMPUTED_VALUE"""),4026.0)</f>
        <v>4026</v>
      </c>
      <c r="K115" t="str">
        <f>IFERROR(__xludf.DUMMYFUNCTION("""COMPUTED_VALUE"""),"Italy")</f>
        <v>Italy</v>
      </c>
      <c r="L115">
        <f>IFERROR(__xludf.DUMMYFUNCTION("""COMPUTED_VALUE"""),10.0)</f>
        <v>10</v>
      </c>
      <c r="M115">
        <f>IFERROR(__xludf.DUMMYFUNCTION("""COMPUTED_VALUE"""),3.0)</f>
        <v>3</v>
      </c>
      <c r="N115">
        <f>IFERROR(__xludf.DUMMYFUNCTION("""COMPUTED_VALUE"""),42277.0)</f>
        <v>42277</v>
      </c>
    </row>
    <row r="116">
      <c r="A116">
        <f>IFERROR(__xludf.DUMMYFUNCTION("""COMPUTED_VALUE"""),728.0)</f>
        <v>728</v>
      </c>
      <c r="B116">
        <f>IFERROR(__xludf.DUMMYFUNCTION("""COMPUTED_VALUE"""),40.6622145332603)</f>
        <v>40.66221453</v>
      </c>
      <c r="C116">
        <f>IFERROR(__xludf.DUMMYFUNCTION("""COMPUTED_VALUE"""),16.5959336567817)</f>
        <v>16.59593366</v>
      </c>
      <c r="D116" t="str">
        <f>IFERROR(__xludf.DUMMYFUNCTION("""COMPUTED_VALUE"""),"Bed &amp; Breakfast")</f>
        <v>Bed &amp; Breakfast</v>
      </c>
      <c r="E116" t="str">
        <f>IFERROR(__xludf.DUMMYFUNCTION("""COMPUTED_VALUE"""),"AMOUSTACHE")</f>
        <v>AMOUSTACHE</v>
      </c>
      <c r="F116" t="str">
        <f>IFERROR(__xludf.DUMMYFUNCTION("""COMPUTED_VALUE"""),"MOSTACCI MICHELE")</f>
        <v>MOSTACCI MICHELE</v>
      </c>
      <c r="G116" t="str">
        <f>IFERROR(__xludf.DUMMYFUNCTION("""COMPUTED_VALUE"""),"VIA PASSARELLI 137 BIS")</f>
        <v>VIA PASSARELLI 137 BIS</v>
      </c>
      <c r="H116" t="str">
        <f>IFERROR(__xludf.DUMMYFUNCTION("""COMPUTED_VALUE"""),"Matera")</f>
        <v>Matera</v>
      </c>
      <c r="I116">
        <f>IFERROR(__xludf.DUMMYFUNCTION("""COMPUTED_VALUE"""),101.0)</f>
        <v>101</v>
      </c>
      <c r="J116">
        <f>IFERROR(__xludf.DUMMYFUNCTION("""COMPUTED_VALUE"""),656.0)</f>
        <v>656</v>
      </c>
      <c r="K116" t="str">
        <f>IFERROR(__xludf.DUMMYFUNCTION("""COMPUTED_VALUE"""),"Italy")</f>
        <v>Italy</v>
      </c>
      <c r="L116">
        <f>IFERROR(__xludf.DUMMYFUNCTION("""COMPUTED_VALUE"""),9.0)</f>
        <v>9</v>
      </c>
      <c r="M116">
        <f>IFERROR(__xludf.DUMMYFUNCTION("""COMPUTED_VALUE"""),4.0)</f>
        <v>4</v>
      </c>
      <c r="N116">
        <f>IFERROR(__xludf.DUMMYFUNCTION("""COMPUTED_VALUE"""),42532.0)</f>
        <v>42532</v>
      </c>
    </row>
    <row r="117">
      <c r="A117">
        <f>IFERROR(__xludf.DUMMYFUNCTION("""COMPUTED_VALUE"""),729.0)</f>
        <v>729</v>
      </c>
      <c r="B117">
        <f>IFERROR(__xludf.DUMMYFUNCTION("""COMPUTED_VALUE"""),40.6580749953723)</f>
        <v>40.658075</v>
      </c>
      <c r="C117">
        <f>IFERROR(__xludf.DUMMYFUNCTION("""COMPUTED_VALUE"""),16.5965496690166)</f>
        <v>16.59654967</v>
      </c>
      <c r="D117" t="str">
        <f>IFERROR(__xludf.DUMMYFUNCTION("""COMPUTED_VALUE"""),"Bed &amp; Breakfast")</f>
        <v>Bed &amp; Breakfast</v>
      </c>
      <c r="E117" t="str">
        <f>IFERROR(__xludf.DUMMYFUNCTION("""COMPUTED_VALUE"""),"BAGNI DEL SOLE")</f>
        <v>BAGNI DEL SOLE</v>
      </c>
      <c r="F117" t="str">
        <f>IFERROR(__xludf.DUMMYFUNCTION("""COMPUTED_VALUE"""),"DISIMINE ROSARIA")</f>
        <v>DISIMINE ROSARIA</v>
      </c>
      <c r="G117" t="str">
        <f>IFERROR(__xludf.DUMMYFUNCTION("""COMPUTED_VALUE"""),"CONTRADA SGARRONE")</f>
        <v>CONTRADA SGARRONE</v>
      </c>
      <c r="H117" t="str">
        <f>IFERROR(__xludf.DUMMYFUNCTION("""COMPUTED_VALUE"""),"Matera")</f>
        <v>Matera</v>
      </c>
      <c r="I117">
        <f>IFERROR(__xludf.DUMMYFUNCTION("""COMPUTED_VALUE"""),101.0)</f>
        <v>101</v>
      </c>
      <c r="J117">
        <f>IFERROR(__xludf.DUMMYFUNCTION("""COMPUTED_VALUE"""),543.0)</f>
        <v>543</v>
      </c>
      <c r="K117" t="str">
        <f>IFERROR(__xludf.DUMMYFUNCTION("""COMPUTED_VALUE"""),"Italy")</f>
        <v>Italy</v>
      </c>
      <c r="L117">
        <f>IFERROR(__xludf.DUMMYFUNCTION("""COMPUTED_VALUE"""),1.0)</f>
        <v>1</v>
      </c>
      <c r="M117">
        <f>IFERROR(__xludf.DUMMYFUNCTION("""COMPUTED_VALUE"""),5.0)</f>
        <v>5</v>
      </c>
      <c r="N117">
        <f>IFERROR(__xludf.DUMMYFUNCTION("""COMPUTED_VALUE"""),42066.0)</f>
        <v>42066</v>
      </c>
    </row>
    <row r="118">
      <c r="A118">
        <f>IFERROR(__xludf.DUMMYFUNCTION("""COMPUTED_VALUE"""),730.0)</f>
        <v>730</v>
      </c>
      <c r="B118">
        <f>IFERROR(__xludf.DUMMYFUNCTION("""COMPUTED_VALUE"""),40.6671028305721)</f>
        <v>40.66710283</v>
      </c>
      <c r="C118">
        <f>IFERROR(__xludf.DUMMYFUNCTION("""COMPUTED_VALUE"""),16.610854314897)</f>
        <v>16.61085431</v>
      </c>
      <c r="D118" t="str">
        <f>IFERROR(__xludf.DUMMYFUNCTION("""COMPUTED_VALUE"""),"Bed &amp; Breakfast")</f>
        <v>Bed &amp; Breakfast</v>
      </c>
      <c r="E118" t="str">
        <f>IFERROR(__xludf.DUMMYFUNCTION("""COMPUTED_VALUE"""),"CAPRIOTTI")</f>
        <v>CAPRIOTTI</v>
      </c>
      <c r="F118" t="str">
        <f>IFERROR(__xludf.DUMMYFUNCTION("""COMPUTED_VALUE"""),"CAPRIOTTI OLIVIO")</f>
        <v>CAPRIOTTI OLIVIO</v>
      </c>
      <c r="G118" t="str">
        <f>IFERROR(__xludf.DUMMYFUNCTION("""COMPUTED_VALUE"""),"via gradoni Duomo 23-28")</f>
        <v>via gradoni Duomo 23-28</v>
      </c>
      <c r="H118" t="str">
        <f>IFERROR(__xludf.DUMMYFUNCTION("""COMPUTED_VALUE"""),"Matera")</f>
        <v>Matera</v>
      </c>
      <c r="I118">
        <f>IFERROR(__xludf.DUMMYFUNCTION("""COMPUTED_VALUE"""),159.0)</f>
        <v>159</v>
      </c>
      <c r="J118">
        <f>IFERROR(__xludf.DUMMYFUNCTION("""COMPUTED_VALUE"""),1113.0)</f>
        <v>1113</v>
      </c>
      <c r="K118" t="str">
        <f>IFERROR(__xludf.DUMMYFUNCTION("""COMPUTED_VALUE"""),"Italy")</f>
        <v>Italy</v>
      </c>
      <c r="L118" t="str">
        <f>IFERROR(__xludf.DUMMYFUNCTION("""COMPUTED_VALUE"""),"")</f>
        <v/>
      </c>
      <c r="M118">
        <f>IFERROR(__xludf.DUMMYFUNCTION("""COMPUTED_VALUE"""),6.0)</f>
        <v>6</v>
      </c>
      <c r="N118">
        <f>IFERROR(__xludf.DUMMYFUNCTION("""COMPUTED_VALUE"""),38855.0)</f>
        <v>38855</v>
      </c>
    </row>
    <row r="119">
      <c r="A119">
        <f>IFERROR(__xludf.DUMMYFUNCTION("""COMPUTED_VALUE"""),731.0)</f>
        <v>731</v>
      </c>
      <c r="B119">
        <f>IFERROR(__xludf.DUMMYFUNCTION("""COMPUTED_VALUE"""),40.6474412393769)</f>
        <v>40.64744124</v>
      </c>
      <c r="C119">
        <f>IFERROR(__xludf.DUMMYFUNCTION("""COMPUTED_VALUE"""),16.6283932319794)</f>
        <v>16.62839323</v>
      </c>
      <c r="D119" t="str">
        <f>IFERROR(__xludf.DUMMYFUNCTION("""COMPUTED_VALUE"""),"Bed &amp; Breakfast")</f>
        <v>Bed &amp; Breakfast</v>
      </c>
      <c r="E119" t="str">
        <f>IFERROR(__xludf.DUMMYFUNCTION("""COMPUTED_VALUE"""),"CASALE DELLE PIANE")</f>
        <v>CASALE DELLE PIANE</v>
      </c>
      <c r="F119" t="str">
        <f>IFERROR(__xludf.DUMMYFUNCTION("""COMPUTED_VALUE"""),"DI PEDE GIUSEPPE")</f>
        <v>DI PEDE GIUSEPPE</v>
      </c>
      <c r="G119" t="str">
        <f>IFERROR(__xludf.DUMMYFUNCTION("""COMPUTED_VALUE"""),"C.DA AGNA LE PIANE")</f>
        <v>C.DA AGNA LE PIANE</v>
      </c>
      <c r="H119" t="str">
        <f>IFERROR(__xludf.DUMMYFUNCTION("""COMPUTED_VALUE"""),"Matera")</f>
        <v>Matera</v>
      </c>
      <c r="I119">
        <f>IFERROR(__xludf.DUMMYFUNCTION("""COMPUTED_VALUE"""),107.0)</f>
        <v>107</v>
      </c>
      <c r="J119">
        <f>IFERROR(__xludf.DUMMYFUNCTION("""COMPUTED_VALUE"""),320.0)</f>
        <v>320</v>
      </c>
      <c r="K119" t="str">
        <f>IFERROR(__xludf.DUMMYFUNCTION("""COMPUTED_VALUE"""),"Italy")</f>
        <v>Italy</v>
      </c>
      <c r="L119">
        <f>IFERROR(__xludf.DUMMYFUNCTION("""COMPUTED_VALUE"""),4.0)</f>
        <v>4</v>
      </c>
      <c r="M119">
        <f>IFERROR(__xludf.DUMMYFUNCTION("""COMPUTED_VALUE"""),4.0)</f>
        <v>4</v>
      </c>
      <c r="N119">
        <f>IFERROR(__xludf.DUMMYFUNCTION("""COMPUTED_VALUE"""),42433.0)</f>
        <v>42433</v>
      </c>
    </row>
    <row r="120">
      <c r="A120">
        <f>IFERROR(__xludf.DUMMYFUNCTION("""COMPUTED_VALUE"""),732.0)</f>
        <v>732</v>
      </c>
      <c r="B120">
        <f>IFERROR(__xludf.DUMMYFUNCTION("""COMPUTED_VALUE"""),40.680958700909)</f>
        <v>40.6809587</v>
      </c>
      <c r="C120">
        <f>IFERROR(__xludf.DUMMYFUNCTION("""COMPUTED_VALUE"""),16.5746103649214)</f>
        <v>16.57461036</v>
      </c>
      <c r="D120" t="str">
        <f>IFERROR(__xludf.DUMMYFUNCTION("""COMPUTED_VALUE"""),"Bed &amp; Breakfast")</f>
        <v>Bed &amp; Breakfast</v>
      </c>
      <c r="E120" t="str">
        <f>IFERROR(__xludf.DUMMYFUNCTION("""COMPUTED_VALUE"""),"CASAMIA2019")</f>
        <v>CASAMIA2019</v>
      </c>
      <c r="F120" t="str">
        <f>IFERROR(__xludf.DUMMYFUNCTION("""COMPUTED_VALUE"""),"CASAMIA CONCETTA")</f>
        <v>CASAMIA CONCETTA</v>
      </c>
      <c r="G120" t="str">
        <f>IFERROR(__xludf.DUMMYFUNCTION("""COMPUTED_VALUE"""),"VIA TERENZIO 11")</f>
        <v>VIA TERENZIO 11</v>
      </c>
      <c r="H120" t="str">
        <f>IFERROR(__xludf.DUMMYFUNCTION("""COMPUTED_VALUE"""),"Matera")</f>
        <v>Matera</v>
      </c>
      <c r="I120">
        <f>IFERROR(__xludf.DUMMYFUNCTION("""COMPUTED_VALUE"""),67.0)</f>
        <v>67</v>
      </c>
      <c r="J120">
        <f>IFERROR(__xludf.DUMMYFUNCTION("""COMPUTED_VALUE"""),106.0)</f>
        <v>106</v>
      </c>
      <c r="K120" t="str">
        <f>IFERROR(__xludf.DUMMYFUNCTION("""COMPUTED_VALUE"""),"Italy")</f>
        <v>Italy</v>
      </c>
      <c r="L120">
        <f>IFERROR(__xludf.DUMMYFUNCTION("""COMPUTED_VALUE"""),16.0)</f>
        <v>16</v>
      </c>
      <c r="M120" t="str">
        <f>IFERROR(__xludf.DUMMYFUNCTION("""COMPUTED_VALUE"""),"")</f>
        <v/>
      </c>
      <c r="N120">
        <f>IFERROR(__xludf.DUMMYFUNCTION("""COMPUTED_VALUE"""),42439.0)</f>
        <v>42439</v>
      </c>
    </row>
    <row r="121">
      <c r="A121">
        <f>IFERROR(__xludf.DUMMYFUNCTION("""COMPUTED_VALUE"""),733.0)</f>
        <v>733</v>
      </c>
      <c r="B121">
        <f>IFERROR(__xludf.DUMMYFUNCTION("""COMPUTED_VALUE"""),40.668139)</f>
        <v>40.668139</v>
      </c>
      <c r="C121">
        <f>IFERROR(__xludf.DUMMYFUNCTION("""COMPUTED_VALUE"""),16.604026)</f>
        <v>16.604026</v>
      </c>
      <c r="D121" t="str">
        <f>IFERROR(__xludf.DUMMYFUNCTION("""COMPUTED_VALUE"""),"Bed &amp; Breakfast")</f>
        <v>Bed &amp; Breakfast</v>
      </c>
      <c r="E121" t="str">
        <f>IFERROR(__xludf.DUMMYFUNCTION("""COMPUTED_VALUE"""),"CENTRALE")</f>
        <v>CENTRALE</v>
      </c>
      <c r="F121" t="str">
        <f>IFERROR(__xludf.DUMMYFUNCTION("""COMPUTED_VALUE"""),"MATTEI MARCO")</f>
        <v>MATTEI MARCO</v>
      </c>
      <c r="G121" t="str">
        <f>IFERROR(__xludf.DUMMYFUNCTION("""COMPUTED_VALUE"""),"VICO VI NOVEMBRE")</f>
        <v>VICO VI NOVEMBRE</v>
      </c>
      <c r="H121" t="str">
        <f>IFERROR(__xludf.DUMMYFUNCTION("""COMPUTED_VALUE"""),"Matera")</f>
        <v>Matera</v>
      </c>
      <c r="I121" t="str">
        <f>IFERROR(__xludf.DUMMYFUNCTION("""COMPUTED_VALUE"""),"")</f>
        <v/>
      </c>
      <c r="J121" t="str">
        <f>IFERROR(__xludf.DUMMYFUNCTION("""COMPUTED_VALUE"""),"")</f>
        <v/>
      </c>
      <c r="K121" t="str">
        <f>IFERROR(__xludf.DUMMYFUNCTION("""COMPUTED_VALUE"""),"Italy")</f>
        <v>Italy</v>
      </c>
      <c r="L121" t="str">
        <f>IFERROR(__xludf.DUMMYFUNCTION("""COMPUTED_VALUE"""),"")</f>
        <v/>
      </c>
      <c r="M121">
        <f>IFERROR(__xludf.DUMMYFUNCTION("""COMPUTED_VALUE"""),2.0)</f>
        <v>2</v>
      </c>
      <c r="N121">
        <f>IFERROR(__xludf.DUMMYFUNCTION("""COMPUTED_VALUE"""),39063.0)</f>
        <v>39063</v>
      </c>
    </row>
    <row r="122">
      <c r="A122">
        <f>IFERROR(__xludf.DUMMYFUNCTION("""COMPUTED_VALUE"""),734.0)</f>
        <v>734</v>
      </c>
      <c r="B122">
        <f>IFERROR(__xludf.DUMMYFUNCTION("""COMPUTED_VALUE"""),40.6518392554487)</f>
        <v>40.65183926</v>
      </c>
      <c r="C122">
        <f>IFERROR(__xludf.DUMMYFUNCTION("""COMPUTED_VALUE"""),16.6178548007249)</f>
        <v>16.6178548</v>
      </c>
      <c r="D122" t="str">
        <f>IFERROR(__xludf.DUMMYFUNCTION("""COMPUTED_VALUE"""),"Bed &amp; Breakfast")</f>
        <v>Bed &amp; Breakfast</v>
      </c>
      <c r="E122" t="str">
        <f>IFERROR(__xludf.DUMMYFUNCTION("""COMPUTED_VALUE"""),"DAL VECCHIO FRANTOIO")</f>
        <v>DAL VECCHIO FRANTOIO</v>
      </c>
      <c r="F122" t="str">
        <f>IFERROR(__xludf.DUMMYFUNCTION("""COMPUTED_VALUE"""),"FRACCALVIERI FELICIANA")</f>
        <v>FRACCALVIERI FELICIANA</v>
      </c>
      <c r="G122" t="str">
        <f>IFERROR(__xludf.DUMMYFUNCTION("""COMPUTED_VALUE"""),"REC MONTESCAGLIOSO 15")</f>
        <v>REC MONTESCAGLIOSO 15</v>
      </c>
      <c r="H122" t="str">
        <f>IFERROR(__xludf.DUMMYFUNCTION("""COMPUTED_VALUE"""),"Matera")</f>
        <v>Matera</v>
      </c>
      <c r="I122">
        <f>IFERROR(__xludf.DUMMYFUNCTION("""COMPUTED_VALUE"""),105.0)</f>
        <v>105</v>
      </c>
      <c r="J122">
        <f>IFERROR(__xludf.DUMMYFUNCTION("""COMPUTED_VALUE"""),15.0)</f>
        <v>15</v>
      </c>
      <c r="K122" t="str">
        <f>IFERROR(__xludf.DUMMYFUNCTION("""COMPUTED_VALUE"""),"Italy")</f>
        <v>Italy</v>
      </c>
      <c r="L122">
        <f>IFERROR(__xludf.DUMMYFUNCTION("""COMPUTED_VALUE"""),32.0)</f>
        <v>32</v>
      </c>
      <c r="M122">
        <f>IFERROR(__xludf.DUMMYFUNCTION("""COMPUTED_VALUE"""),2.0)</f>
        <v>2</v>
      </c>
      <c r="N122">
        <f>IFERROR(__xludf.DUMMYFUNCTION("""COMPUTED_VALUE"""),42531.0)</f>
        <v>42531</v>
      </c>
    </row>
    <row r="123">
      <c r="A123">
        <f>IFERROR(__xludf.DUMMYFUNCTION("""COMPUTED_VALUE"""),735.0)</f>
        <v>735</v>
      </c>
      <c r="B123">
        <f>IFERROR(__xludf.DUMMYFUNCTION("""COMPUTED_VALUE"""),40.6883407183111)</f>
        <v>40.68834072</v>
      </c>
      <c r="C123">
        <f>IFERROR(__xludf.DUMMYFUNCTION("""COMPUTED_VALUE"""),16.5757573907894)</f>
        <v>16.57575739</v>
      </c>
      <c r="D123" t="str">
        <f>IFERROR(__xludf.DUMMYFUNCTION("""COMPUTED_VALUE"""),"Bed &amp; Breakfast")</f>
        <v>Bed &amp; Breakfast</v>
      </c>
      <c r="E123" t="str">
        <f>IFERROR(__xludf.DUMMYFUNCTION("""COMPUTED_VALUE"""),"DALIA")</f>
        <v>DALIA</v>
      </c>
      <c r="F123" t="str">
        <f>IFERROR(__xludf.DUMMYFUNCTION("""COMPUTED_VALUE"""),"PERRONE PIETRO")</f>
        <v>PERRONE PIETRO</v>
      </c>
      <c r="G123" t="str">
        <f>IFERROR(__xludf.DUMMYFUNCTION("""COMPUTED_VALUE"""),"REC II PAOLO BORSELLINO 8")</f>
        <v>REC II PAOLO BORSELLINO 8</v>
      </c>
      <c r="H123" t="str">
        <f>IFERROR(__xludf.DUMMYFUNCTION("""COMPUTED_VALUE"""),"Matera")</f>
        <v>Matera</v>
      </c>
      <c r="I123">
        <f>IFERROR(__xludf.DUMMYFUNCTION("""COMPUTED_VALUE"""),51.0)</f>
        <v>51</v>
      </c>
      <c r="J123">
        <f>IFERROR(__xludf.DUMMYFUNCTION("""COMPUTED_VALUE"""),2772.0)</f>
        <v>2772</v>
      </c>
      <c r="K123" t="str">
        <f>IFERROR(__xludf.DUMMYFUNCTION("""COMPUTED_VALUE"""),"Italy")</f>
        <v>Italy</v>
      </c>
      <c r="L123">
        <f>IFERROR(__xludf.DUMMYFUNCTION("""COMPUTED_VALUE"""),31.0)</f>
        <v>31</v>
      </c>
      <c r="M123">
        <f>IFERROR(__xludf.DUMMYFUNCTION("""COMPUTED_VALUE"""),5.0)</f>
        <v>5</v>
      </c>
      <c r="N123">
        <f>IFERROR(__xludf.DUMMYFUNCTION("""COMPUTED_VALUE"""),42516.0)</f>
        <v>42516</v>
      </c>
    </row>
    <row r="124">
      <c r="A124">
        <f>IFERROR(__xludf.DUMMYFUNCTION("""COMPUTED_VALUE"""),736.0)</f>
        <v>736</v>
      </c>
      <c r="B124">
        <f>IFERROR(__xludf.DUMMYFUNCTION("""COMPUTED_VALUE"""),40.6531243687126)</f>
        <v>40.65312437</v>
      </c>
      <c r="C124">
        <f>IFERROR(__xludf.DUMMYFUNCTION("""COMPUTED_VALUE"""),16.6179742788681)</f>
        <v>16.61797428</v>
      </c>
      <c r="D124" t="str">
        <f>IFERROR(__xludf.DUMMYFUNCTION("""COMPUTED_VALUE"""),"Bed &amp; Breakfast")</f>
        <v>Bed &amp; Breakfast</v>
      </c>
      <c r="E124" t="str">
        <f>IFERROR(__xludf.DUMMYFUNCTION("""COMPUTED_VALUE"""),"DANY'S HOUSE")</f>
        <v>DANY'S HOUSE</v>
      </c>
      <c r="F124" t="str">
        <f>IFERROR(__xludf.DUMMYFUNCTION("""COMPUTED_VALUE"""),"EMANUELE PAPAPIETRO")</f>
        <v>EMANUELE PAPAPIETRO</v>
      </c>
      <c r="G124" t="str">
        <f>IFERROR(__xludf.DUMMYFUNCTION("""COMPUTED_VALUE"""),"via Cappuccini 32")</f>
        <v>via Cappuccini 32</v>
      </c>
      <c r="H124" t="str">
        <f>IFERROR(__xludf.DUMMYFUNCTION("""COMPUTED_VALUE"""),"Matera")</f>
        <v>Matera</v>
      </c>
      <c r="I124">
        <f>IFERROR(__xludf.DUMMYFUNCTION("""COMPUTED_VALUE"""),105.0)</f>
        <v>105</v>
      </c>
      <c r="J124">
        <f>IFERROR(__xludf.DUMMYFUNCTION("""COMPUTED_VALUE"""),98.0)</f>
        <v>98</v>
      </c>
      <c r="K124" t="str">
        <f>IFERROR(__xludf.DUMMYFUNCTION("""COMPUTED_VALUE"""),"Italy")</f>
        <v>Italy</v>
      </c>
      <c r="L124">
        <f>IFERROR(__xludf.DUMMYFUNCTION("""COMPUTED_VALUE"""),5.0)</f>
        <v>5</v>
      </c>
      <c r="M124">
        <f>IFERROR(__xludf.DUMMYFUNCTION("""COMPUTED_VALUE"""),4.0)</f>
        <v>4</v>
      </c>
      <c r="N124">
        <f>IFERROR(__xludf.DUMMYFUNCTION("""COMPUTED_VALUE"""),38908.0)</f>
        <v>38908</v>
      </c>
    </row>
    <row r="125">
      <c r="A125">
        <f>IFERROR(__xludf.DUMMYFUNCTION("""COMPUTED_VALUE"""),737.0)</f>
        <v>737</v>
      </c>
      <c r="B125">
        <f>IFERROR(__xludf.DUMMYFUNCTION("""COMPUTED_VALUE"""),40.661288)</f>
        <v>40.661288</v>
      </c>
      <c r="C125">
        <f>IFERROR(__xludf.DUMMYFUNCTION("""COMPUTED_VALUE"""),16.611783)</f>
        <v>16.611783</v>
      </c>
      <c r="D125" t="str">
        <f>IFERROR(__xludf.DUMMYFUNCTION("""COMPUTED_VALUE"""),"Bed &amp; Breakfast")</f>
        <v>Bed &amp; Breakfast</v>
      </c>
      <c r="E125" t="str">
        <f>IFERROR(__xludf.DUMMYFUNCTION("""COMPUTED_VALUE"""),"DOMINA SASSI")</f>
        <v>DOMINA SASSI</v>
      </c>
      <c r="F125" t="str">
        <f>IFERROR(__xludf.DUMMYFUNCTION("""COMPUTED_VALUE"""),"MOLITERNI RAFFAELLA")</f>
        <v>MOLITERNI RAFFAELLA</v>
      </c>
      <c r="G125" t="str">
        <f>IFERROR(__xludf.DUMMYFUNCTION("""COMPUTED_VALUE"""),"VIA CASALNUOVO 90")</f>
        <v>VIA CASALNUOVO 90</v>
      </c>
      <c r="H125" t="str">
        <f>IFERROR(__xludf.DUMMYFUNCTION("""COMPUTED_VALUE"""),"Matera")</f>
        <v>Matera</v>
      </c>
      <c r="I125" t="str">
        <f>IFERROR(__xludf.DUMMYFUNCTION("""COMPUTED_VALUE"""),"")</f>
        <v/>
      </c>
      <c r="J125" t="str">
        <f>IFERROR(__xludf.DUMMYFUNCTION("""COMPUTED_VALUE"""),"")</f>
        <v/>
      </c>
      <c r="K125" t="str">
        <f>IFERROR(__xludf.DUMMYFUNCTION("""COMPUTED_VALUE"""),"Italy")</f>
        <v>Italy</v>
      </c>
      <c r="L125" t="str">
        <f>IFERROR(__xludf.DUMMYFUNCTION("""COMPUTED_VALUE"""),"")</f>
        <v/>
      </c>
      <c r="M125">
        <f>IFERROR(__xludf.DUMMYFUNCTION("""COMPUTED_VALUE"""),6.0)</f>
        <v>6</v>
      </c>
      <c r="N125">
        <f>IFERROR(__xludf.DUMMYFUNCTION("""COMPUTED_VALUE"""),42320.0)</f>
        <v>42320</v>
      </c>
    </row>
    <row r="126">
      <c r="A126">
        <f>IFERROR(__xludf.DUMMYFUNCTION("""COMPUTED_VALUE"""),738.0)</f>
        <v>738</v>
      </c>
      <c r="B126">
        <f>IFERROR(__xludf.DUMMYFUNCTION("""COMPUTED_VALUE"""),40.6446892592915)</f>
        <v>40.64468926</v>
      </c>
      <c r="C126">
        <f>IFERROR(__xludf.DUMMYFUNCTION("""COMPUTED_VALUE"""),16.6246538382822)</f>
        <v>16.62465384</v>
      </c>
      <c r="D126" t="str">
        <f>IFERROR(__xludf.DUMMYFUNCTION("""COMPUTED_VALUE"""),"Bed &amp; Breakfast")</f>
        <v>Bed &amp; Breakfast</v>
      </c>
      <c r="E126" t="str">
        <f>IFERROR(__xludf.DUMMYFUNCTION("""COMPUTED_VALUE"""),"DOMUS ANGELA")</f>
        <v>DOMUS ANGELA</v>
      </c>
      <c r="F126" t="str">
        <f>IFERROR(__xludf.DUMMYFUNCTION("""COMPUTED_VALUE"""),"VENEZIA PIERFRANCESCO")</f>
        <v>VENEZIA PIERFRANCESCO</v>
      </c>
      <c r="G126" t="str">
        <f>IFERROR(__xludf.DUMMYFUNCTION("""COMPUTED_VALUE"""),"VIA T. RICCIARDI 13/3")</f>
        <v>VIA T. RICCIARDI 13/3</v>
      </c>
      <c r="H126" t="str">
        <f>IFERROR(__xludf.DUMMYFUNCTION("""COMPUTED_VALUE"""),"Matera")</f>
        <v>Matera</v>
      </c>
      <c r="I126">
        <f>IFERROR(__xludf.DUMMYFUNCTION("""COMPUTED_VALUE"""),106.0)</f>
        <v>106</v>
      </c>
      <c r="J126">
        <f>IFERROR(__xludf.DUMMYFUNCTION("""COMPUTED_VALUE"""),273.0)</f>
        <v>273</v>
      </c>
      <c r="K126" t="str">
        <f>IFERROR(__xludf.DUMMYFUNCTION("""COMPUTED_VALUE"""),"Italy")</f>
        <v>Italy</v>
      </c>
      <c r="L126">
        <f>IFERROR(__xludf.DUMMYFUNCTION("""COMPUTED_VALUE"""),6.0)</f>
        <v>6</v>
      </c>
      <c r="M126">
        <f>IFERROR(__xludf.DUMMYFUNCTION("""COMPUTED_VALUE"""),2.0)</f>
        <v>2</v>
      </c>
      <c r="N126">
        <f>IFERROR(__xludf.DUMMYFUNCTION("""COMPUTED_VALUE"""),42227.0)</f>
        <v>42227</v>
      </c>
    </row>
    <row r="127">
      <c r="A127">
        <f>IFERROR(__xludf.DUMMYFUNCTION("""COMPUTED_VALUE"""),739.0)</f>
        <v>739</v>
      </c>
      <c r="B127">
        <f>IFERROR(__xludf.DUMMYFUNCTION("""COMPUTED_VALUE"""),40.666982821916)</f>
        <v>40.66698282</v>
      </c>
      <c r="C127">
        <f>IFERROR(__xludf.DUMMYFUNCTION("""COMPUTED_VALUE"""),16.6080463530884)</f>
        <v>16.60804635</v>
      </c>
      <c r="D127" t="str">
        <f>IFERROR(__xludf.DUMMYFUNCTION("""COMPUTED_VALUE"""),"Bed &amp; Breakfast")</f>
        <v>Bed &amp; Breakfast</v>
      </c>
      <c r="E127" t="str">
        <f>IFERROR(__xludf.DUMMYFUNCTION("""COMPUTED_VALUE"""),"DONNA LINA")</f>
        <v>DONNA LINA</v>
      </c>
      <c r="F127" t="str">
        <f>IFERROR(__xludf.DUMMYFUNCTION("""COMPUTED_VALUE"""),"LASCARO ANGELA")</f>
        <v>LASCARO ANGELA</v>
      </c>
      <c r="G127" t="str">
        <f>IFERROR(__xludf.DUMMYFUNCTION("""COMPUTED_VALUE"""),"VICO FORNACI VECCHIE 7.8.9")</f>
        <v>VICO FORNACI VECCHIE 7.8.9</v>
      </c>
      <c r="H127" t="str">
        <f>IFERROR(__xludf.DUMMYFUNCTION("""COMPUTED_VALUE"""),"Matera")</f>
        <v>Matera</v>
      </c>
      <c r="I127">
        <f>IFERROR(__xludf.DUMMYFUNCTION("""COMPUTED_VALUE"""),159.0)</f>
        <v>159</v>
      </c>
      <c r="J127">
        <f>IFERROR(__xludf.DUMMYFUNCTION("""COMPUTED_VALUE"""),580.0)</f>
        <v>580</v>
      </c>
      <c r="K127" t="str">
        <f>IFERROR(__xludf.DUMMYFUNCTION("""COMPUTED_VALUE"""),"Italy")</f>
        <v>Italy</v>
      </c>
      <c r="L127">
        <f>IFERROR(__xludf.DUMMYFUNCTION("""COMPUTED_VALUE"""),8.0)</f>
        <v>8</v>
      </c>
      <c r="M127">
        <f>IFERROR(__xludf.DUMMYFUNCTION("""COMPUTED_VALUE"""),7.0)</f>
        <v>7</v>
      </c>
      <c r="N127">
        <f>IFERROR(__xludf.DUMMYFUNCTION("""COMPUTED_VALUE"""),42159.0)</f>
        <v>42159</v>
      </c>
    </row>
    <row r="128">
      <c r="A128">
        <f>IFERROR(__xludf.DUMMYFUNCTION("""COMPUTED_VALUE"""),740.0)</f>
        <v>740</v>
      </c>
      <c r="B128">
        <f>IFERROR(__xludf.DUMMYFUNCTION("""COMPUTED_VALUE"""),40.687919181952)</f>
        <v>40.68791918</v>
      </c>
      <c r="C128">
        <f>IFERROR(__xludf.DUMMYFUNCTION("""COMPUTED_VALUE"""),16.5873595640974)</f>
        <v>16.58735956</v>
      </c>
      <c r="D128" t="str">
        <f>IFERROR(__xludf.DUMMYFUNCTION("""COMPUTED_VALUE"""),"Bed &amp; Breakfast")</f>
        <v>Bed &amp; Breakfast</v>
      </c>
      <c r="E128" t="str">
        <f>IFERROR(__xludf.DUMMYFUNCTION("""COMPUTED_VALUE"""),"DUE CUORI E UN B&amp;B")</f>
        <v>DUE CUORI E UN B&amp;B</v>
      </c>
      <c r="F128" t="str">
        <f>IFERROR(__xludf.DUMMYFUNCTION("""COMPUTED_VALUE"""),"FILOMENA FABRIZIO")</f>
        <v>FILOMENA FABRIZIO</v>
      </c>
      <c r="G128" t="str">
        <f>IFERROR(__xludf.DUMMYFUNCTION("""COMPUTED_VALUE"""),"VIA DEI MESSAPI 41")</f>
        <v>VIA DEI MESSAPI 41</v>
      </c>
      <c r="H128" t="str">
        <f>IFERROR(__xludf.DUMMYFUNCTION("""COMPUTED_VALUE"""),"Matera")</f>
        <v>Matera</v>
      </c>
      <c r="I128">
        <f>IFERROR(__xludf.DUMMYFUNCTION("""COMPUTED_VALUE"""),51.0)</f>
        <v>51</v>
      </c>
      <c r="J128">
        <f>IFERROR(__xludf.DUMMYFUNCTION("""COMPUTED_VALUE"""),433.0)</f>
        <v>433</v>
      </c>
      <c r="K128" t="str">
        <f>IFERROR(__xludf.DUMMYFUNCTION("""COMPUTED_VALUE"""),"Italy")</f>
        <v>Italy</v>
      </c>
      <c r="L128">
        <f>IFERROR(__xludf.DUMMYFUNCTION("""COMPUTED_VALUE"""),12.0)</f>
        <v>12</v>
      </c>
      <c r="M128">
        <f>IFERROR(__xludf.DUMMYFUNCTION("""COMPUTED_VALUE"""),2.0)</f>
        <v>2</v>
      </c>
      <c r="N128">
        <f>IFERROR(__xludf.DUMMYFUNCTION("""COMPUTED_VALUE"""),42535.0)</f>
        <v>42535</v>
      </c>
    </row>
    <row r="129">
      <c r="A129">
        <f>IFERROR(__xludf.DUMMYFUNCTION("""COMPUTED_VALUE"""),741.0)</f>
        <v>741</v>
      </c>
      <c r="B129">
        <f>IFERROR(__xludf.DUMMYFUNCTION("""COMPUTED_VALUE"""),40.6599080531446)</f>
        <v>40.65990805</v>
      </c>
      <c r="C129">
        <f>IFERROR(__xludf.DUMMYFUNCTION("""COMPUTED_VALUE"""),16.6115521590302)</f>
        <v>16.61155216</v>
      </c>
      <c r="D129" t="str">
        <f>IFERROR(__xludf.DUMMYFUNCTION("""COMPUTED_VALUE"""),"Bed &amp; Breakfast")</f>
        <v>Bed &amp; Breakfast</v>
      </c>
      <c r="E129" t="str">
        <f>IFERROR(__xludf.DUMMYFUNCTION("""COMPUTED_VALUE"""),"FORTUNATO")</f>
        <v>FORTUNATO</v>
      </c>
      <c r="F129" t="str">
        <f>IFERROR(__xludf.DUMMYFUNCTION("""COMPUTED_VALUE"""),"SANTOCHIRICO EUSTACHIO")</f>
        <v>SANTOCHIRICO EUSTACHIO</v>
      </c>
      <c r="G129" t="str">
        <f>IFERROR(__xludf.DUMMYFUNCTION("""COMPUTED_VALUE"""),"VIA GIUSTINO FORTUNATO  9")</f>
        <v>VIA GIUSTINO FORTUNATO  9</v>
      </c>
      <c r="H129" t="str">
        <f>IFERROR(__xludf.DUMMYFUNCTION("""COMPUTED_VALUE"""),"Matera")</f>
        <v>Matera</v>
      </c>
      <c r="I129">
        <f>IFERROR(__xludf.DUMMYFUNCTION("""COMPUTED_VALUE"""),103.0)</f>
        <v>103</v>
      </c>
      <c r="J129">
        <f>IFERROR(__xludf.DUMMYFUNCTION("""COMPUTED_VALUE"""),240.0)</f>
        <v>240</v>
      </c>
      <c r="K129" t="str">
        <f>IFERROR(__xludf.DUMMYFUNCTION("""COMPUTED_VALUE"""),"Italy")</f>
        <v>Italy</v>
      </c>
      <c r="L129">
        <f>IFERROR(__xludf.DUMMYFUNCTION("""COMPUTED_VALUE"""),19.0)</f>
        <v>19</v>
      </c>
      <c r="M129">
        <f>IFERROR(__xludf.DUMMYFUNCTION("""COMPUTED_VALUE"""),4.0)</f>
        <v>4</v>
      </c>
      <c r="N129">
        <f>IFERROR(__xludf.DUMMYFUNCTION("""COMPUTED_VALUE"""),42417.0)</f>
        <v>42417</v>
      </c>
    </row>
    <row r="130">
      <c r="A130">
        <f>IFERROR(__xludf.DUMMYFUNCTION("""COMPUTED_VALUE"""),742.0)</f>
        <v>742</v>
      </c>
      <c r="B130">
        <f>IFERROR(__xludf.DUMMYFUNCTION("""COMPUTED_VALUE"""),40.6750342164377)</f>
        <v>40.67503422</v>
      </c>
      <c r="C130">
        <f>IFERROR(__xludf.DUMMYFUNCTION("""COMPUTED_VALUE"""),16.5983456498708)</f>
        <v>16.59834565</v>
      </c>
      <c r="D130" t="str">
        <f>IFERROR(__xludf.DUMMYFUNCTION("""COMPUTED_VALUE"""),"Bed &amp; Breakfast")</f>
        <v>Bed &amp; Breakfast</v>
      </c>
      <c r="E130" t="str">
        <f>IFERROR(__xludf.DUMMYFUNCTION("""COMPUTED_VALUE"""),"I DUE ARCHI")</f>
        <v>I DUE ARCHI</v>
      </c>
      <c r="F130" t="str">
        <f>IFERROR(__xludf.DUMMYFUNCTION("""COMPUTED_VALUE"""),"GIULIO FABRIZIO")</f>
        <v>GIULIO FABRIZIO</v>
      </c>
      <c r="G130" t="str">
        <f>IFERROR(__xludf.DUMMYFUNCTION("""COMPUTED_VALUE"""),"via gobetti 51/A")</f>
        <v>via gobetti 51/A</v>
      </c>
      <c r="H130" t="str">
        <f>IFERROR(__xludf.DUMMYFUNCTION("""COMPUTED_VALUE"""),"Matera")</f>
        <v>Matera</v>
      </c>
      <c r="I130">
        <f>IFERROR(__xludf.DUMMYFUNCTION("""COMPUTED_VALUE"""),159.0)</f>
        <v>159</v>
      </c>
      <c r="J130">
        <f>IFERROR(__xludf.DUMMYFUNCTION("""COMPUTED_VALUE"""),4772.0)</f>
        <v>4772</v>
      </c>
      <c r="K130" t="str">
        <f>IFERROR(__xludf.DUMMYFUNCTION("""COMPUTED_VALUE"""),"Italy")</f>
        <v>Italy</v>
      </c>
      <c r="L130">
        <f>IFERROR(__xludf.DUMMYFUNCTION("""COMPUTED_VALUE"""),17.0)</f>
        <v>17</v>
      </c>
      <c r="M130">
        <f>IFERROR(__xludf.DUMMYFUNCTION("""COMPUTED_VALUE"""),3.0)</f>
        <v>3</v>
      </c>
      <c r="N130">
        <f>IFERROR(__xludf.DUMMYFUNCTION("""COMPUTED_VALUE"""),41970.0)</f>
        <v>41970</v>
      </c>
    </row>
    <row r="131">
      <c r="A131">
        <f>IFERROR(__xludf.DUMMYFUNCTION("""COMPUTED_VALUE"""),743.0)</f>
        <v>743</v>
      </c>
      <c r="B131">
        <f>IFERROR(__xludf.DUMMYFUNCTION("""COMPUTED_VALUE"""),40.673471)</f>
        <v>40.673471</v>
      </c>
      <c r="C131">
        <f>IFERROR(__xludf.DUMMYFUNCTION("""COMPUTED_VALUE"""),16.607093)</f>
        <v>16.607093</v>
      </c>
      <c r="D131" t="str">
        <f>IFERROR(__xludf.DUMMYFUNCTION("""COMPUTED_VALUE"""),"Bed &amp; Breakfast")</f>
        <v>Bed &amp; Breakfast</v>
      </c>
      <c r="E131" t="str">
        <f>IFERROR(__xludf.DUMMYFUNCTION("""COMPUTED_VALUE"""),"IL CIELO SUI SASSI")</f>
        <v>IL CIELO SUI SASSI</v>
      </c>
      <c r="F131" t="str">
        <f>IFERROR(__xludf.DUMMYFUNCTION("""COMPUTED_VALUE"""),"LAURA LUONGO")</f>
        <v>LAURA LUONGO</v>
      </c>
      <c r="G131" t="str">
        <f>IFERROR(__xludf.DUMMYFUNCTION("""COMPUTED_VALUE"""),"VIA CERERIE 4/B")</f>
        <v>VIA CERERIE 4/B</v>
      </c>
      <c r="H131" t="str">
        <f>IFERROR(__xludf.DUMMYFUNCTION("""COMPUTED_VALUE"""),"Matera")</f>
        <v>Matera</v>
      </c>
      <c r="I131">
        <f>IFERROR(__xludf.DUMMYFUNCTION("""COMPUTED_VALUE"""),72.0)</f>
        <v>72</v>
      </c>
      <c r="J131">
        <f>IFERROR(__xludf.DUMMYFUNCTION("""COMPUTED_VALUE"""),34.0)</f>
        <v>34</v>
      </c>
      <c r="K131" t="str">
        <f>IFERROR(__xludf.DUMMYFUNCTION("""COMPUTED_VALUE"""),"Italy")</f>
        <v>Italy</v>
      </c>
      <c r="L131">
        <f>IFERROR(__xludf.DUMMYFUNCTION("""COMPUTED_VALUE"""),9.0)</f>
        <v>9</v>
      </c>
      <c r="M131">
        <f>IFERROR(__xludf.DUMMYFUNCTION("""COMPUTED_VALUE"""),3.0)</f>
        <v>3</v>
      </c>
      <c r="N131">
        <f>IFERROR(__xludf.DUMMYFUNCTION("""COMPUTED_VALUE"""),42808.0)</f>
        <v>42808</v>
      </c>
    </row>
    <row r="132">
      <c r="A132">
        <f>IFERROR(__xludf.DUMMYFUNCTION("""COMPUTED_VALUE"""),744.0)</f>
        <v>744</v>
      </c>
      <c r="B132">
        <f>IFERROR(__xludf.DUMMYFUNCTION("""COMPUTED_VALUE"""),40.6658035627449)</f>
        <v>40.66580356</v>
      </c>
      <c r="C132">
        <f>IFERROR(__xludf.DUMMYFUNCTION("""COMPUTED_VALUE"""),16.6109432838495)</f>
        <v>16.61094328</v>
      </c>
      <c r="D132" t="str">
        <f>IFERROR(__xludf.DUMMYFUNCTION("""COMPUTED_VALUE"""),"Bed &amp; Breakfast")</f>
        <v>Bed &amp; Breakfast</v>
      </c>
      <c r="E132" t="str">
        <f>IFERROR(__xludf.DUMMYFUNCTION("""COMPUTED_VALUE"""),"IL COLLE DELLA CIVITA")</f>
        <v>IL COLLE DELLA CIVITA</v>
      </c>
      <c r="F132" t="str">
        <f>IFERROR(__xludf.DUMMYFUNCTION("""COMPUTED_VALUE"""),"NICOLETTI DOMENICO")</f>
        <v>NICOLETTI DOMENICO</v>
      </c>
      <c r="G132" t="str">
        <f>IFERROR(__xludf.DUMMYFUNCTION("""COMPUTED_VALUE"""),"REC.CASTELVECCHIO 5")</f>
        <v>REC.CASTELVECCHIO 5</v>
      </c>
      <c r="H132" t="str">
        <f>IFERROR(__xludf.DUMMYFUNCTION("""COMPUTED_VALUE"""),"Matera")</f>
        <v>Matera</v>
      </c>
      <c r="I132">
        <f>IFERROR(__xludf.DUMMYFUNCTION("""COMPUTED_VALUE"""),159.0)</f>
        <v>159</v>
      </c>
      <c r="J132">
        <f>IFERROR(__xludf.DUMMYFUNCTION("""COMPUTED_VALUE"""),1524.0)</f>
        <v>1524</v>
      </c>
      <c r="K132" t="str">
        <f>IFERROR(__xludf.DUMMYFUNCTION("""COMPUTED_VALUE"""),"Italy")</f>
        <v>Italy</v>
      </c>
      <c r="L132">
        <f>IFERROR(__xludf.DUMMYFUNCTION("""COMPUTED_VALUE"""),9.0)</f>
        <v>9</v>
      </c>
      <c r="M132">
        <f>IFERROR(__xludf.DUMMYFUNCTION("""COMPUTED_VALUE"""),3.0)</f>
        <v>3</v>
      </c>
      <c r="N132">
        <f>IFERROR(__xludf.DUMMYFUNCTION("""COMPUTED_VALUE"""),42580.0)</f>
        <v>42580</v>
      </c>
    </row>
    <row r="133">
      <c r="A133">
        <f>IFERROR(__xludf.DUMMYFUNCTION("""COMPUTED_VALUE"""),745.0)</f>
        <v>745</v>
      </c>
      <c r="B133">
        <f>IFERROR(__xludf.DUMMYFUNCTION("""COMPUTED_VALUE"""),40.6889480519715)</f>
        <v>40.68894805</v>
      </c>
      <c r="C133">
        <f>IFERROR(__xludf.DUMMYFUNCTION("""COMPUTED_VALUE"""),16.5860900689447)</f>
        <v>16.58609007</v>
      </c>
      <c r="D133" t="str">
        <f>IFERROR(__xludf.DUMMYFUNCTION("""COMPUTED_VALUE"""),"Bed &amp; Breakfast")</f>
        <v>Bed &amp; Breakfast</v>
      </c>
      <c r="E133" t="str">
        <f>IFERROR(__xludf.DUMMYFUNCTION("""COMPUTED_VALUE"""),"IL GIARDINO DI ITALIA")</f>
        <v>IL GIARDINO DI ITALIA</v>
      </c>
      <c r="F133" t="str">
        <f>IFERROR(__xludf.DUMMYFUNCTION("""COMPUTED_VALUE"""),"ISABELLA GUARINI")</f>
        <v>ISABELLA GUARINI</v>
      </c>
      <c r="G133" t="str">
        <f>IFERROR(__xludf.DUMMYFUNCTION("""COMPUTED_VALUE"""),"VIA DEI MESSAPI 25 BIS")</f>
        <v>VIA DEI MESSAPI 25 BIS</v>
      </c>
      <c r="H133" t="str">
        <f>IFERROR(__xludf.DUMMYFUNCTION("""COMPUTED_VALUE"""),"Matera")</f>
        <v>Matera</v>
      </c>
      <c r="I133">
        <f>IFERROR(__xludf.DUMMYFUNCTION("""COMPUTED_VALUE"""),28.0)</f>
        <v>28</v>
      </c>
      <c r="J133">
        <f>IFERROR(__xludf.DUMMYFUNCTION("""COMPUTED_VALUE"""),889.0)</f>
        <v>889</v>
      </c>
      <c r="K133" t="str">
        <f>IFERROR(__xludf.DUMMYFUNCTION("""COMPUTED_VALUE"""),"Italy")</f>
        <v>Italy</v>
      </c>
      <c r="L133">
        <f>IFERROR(__xludf.DUMMYFUNCTION("""COMPUTED_VALUE"""),4.0)</f>
        <v>4</v>
      </c>
      <c r="M133">
        <f>IFERROR(__xludf.DUMMYFUNCTION("""COMPUTED_VALUE"""),3.0)</f>
        <v>3</v>
      </c>
      <c r="N133">
        <f>IFERROR(__xludf.DUMMYFUNCTION("""COMPUTED_VALUE"""),42277.0)</f>
        <v>42277</v>
      </c>
    </row>
    <row r="134">
      <c r="A134">
        <f>IFERROR(__xludf.DUMMYFUNCTION("""COMPUTED_VALUE"""),746.0)</f>
        <v>746</v>
      </c>
      <c r="B134">
        <f>IFERROR(__xludf.DUMMYFUNCTION("""COMPUTED_VALUE"""),40.6690901983819)</f>
        <v>40.6690902</v>
      </c>
      <c r="C134">
        <f>IFERROR(__xludf.DUMMYFUNCTION("""COMPUTED_VALUE"""),16.6037221200434)</f>
        <v>16.60372212</v>
      </c>
      <c r="D134" t="str">
        <f>IFERROR(__xludf.DUMMYFUNCTION("""COMPUTED_VALUE"""),"Bed &amp; Breakfast")</f>
        <v>Bed &amp; Breakfast</v>
      </c>
      <c r="E134" t="str">
        <f>IFERROR(__xludf.DUMMYFUNCTION("""COMPUTED_VALUE"""),"IL GIGLIO DEI SASSI")</f>
        <v>IL GIGLIO DEI SASSI</v>
      </c>
      <c r="F134" t="str">
        <f>IFERROR(__xludf.DUMMYFUNCTION("""COMPUTED_VALUE"""),"MANICONE ANNA")</f>
        <v>MANICONE ANNA</v>
      </c>
      <c r="G134" t="str">
        <f>IFERROR(__xludf.DUMMYFUNCTION("""COMPUTED_VALUE"""),"VIA L. PROTOSPATA  37")</f>
        <v>VIA L. PROTOSPATA  37</v>
      </c>
      <c r="H134" t="str">
        <f>IFERROR(__xludf.DUMMYFUNCTION("""COMPUTED_VALUE"""),"Matera")</f>
        <v>Matera</v>
      </c>
      <c r="I134">
        <f>IFERROR(__xludf.DUMMYFUNCTION("""COMPUTED_VALUE"""),71.0)</f>
        <v>71</v>
      </c>
      <c r="J134">
        <f>IFERROR(__xludf.DUMMYFUNCTION("""COMPUTED_VALUE"""),1053.0)</f>
        <v>1053</v>
      </c>
      <c r="K134" t="str">
        <f>IFERROR(__xludf.DUMMYFUNCTION("""COMPUTED_VALUE"""),"Italy")</f>
        <v>Italy</v>
      </c>
      <c r="L134" t="str">
        <f>IFERROR(__xludf.DUMMYFUNCTION("""COMPUTED_VALUE"""),"")</f>
        <v/>
      </c>
      <c r="M134">
        <f>IFERROR(__xludf.DUMMYFUNCTION("""COMPUTED_VALUE"""),2.0)</f>
        <v>2</v>
      </c>
      <c r="N134">
        <f>IFERROR(__xludf.DUMMYFUNCTION("""COMPUTED_VALUE"""),42592.0)</f>
        <v>42592</v>
      </c>
    </row>
    <row r="135">
      <c r="A135">
        <f>IFERROR(__xludf.DUMMYFUNCTION("""COMPUTED_VALUE"""),747.0)</f>
        <v>747</v>
      </c>
      <c r="B135">
        <f>IFERROR(__xludf.DUMMYFUNCTION("""COMPUTED_VALUE"""),40.6457582635842)</f>
        <v>40.64575826</v>
      </c>
      <c r="C135">
        <f>IFERROR(__xludf.DUMMYFUNCTION("""COMPUTED_VALUE"""),16.6193573977135)</f>
        <v>16.6193574</v>
      </c>
      <c r="D135" t="str">
        <f>IFERROR(__xludf.DUMMYFUNCTION("""COMPUTED_VALUE"""),"Bed &amp; Breakfast")</f>
        <v>Bed &amp; Breakfast</v>
      </c>
      <c r="E135" t="str">
        <f>IFERROR(__xludf.DUMMYFUNCTION("""COMPUTED_VALUE"""),"IL GIRASOLE")</f>
        <v>IL GIRASOLE</v>
      </c>
      <c r="F135" t="str">
        <f>IFERROR(__xludf.DUMMYFUNCTION("""COMPUTED_VALUE"""),"CAPPIELLO ANNA MARIA")</f>
        <v>CAPPIELLO ANNA MARIA</v>
      </c>
      <c r="G135" t="str">
        <f>IFERROR(__xludf.DUMMYFUNCTION("""COMPUTED_VALUE"""),"REC. MASTRONARDI 2/e")</f>
        <v>REC. MASTRONARDI 2/e</v>
      </c>
      <c r="H135" t="str">
        <f>IFERROR(__xludf.DUMMYFUNCTION("""COMPUTED_VALUE"""),"Matera")</f>
        <v>Matera</v>
      </c>
      <c r="I135">
        <f>IFERROR(__xludf.DUMMYFUNCTION("""COMPUTED_VALUE"""),106.0)</f>
        <v>106</v>
      </c>
      <c r="J135">
        <f>IFERROR(__xludf.DUMMYFUNCTION("""COMPUTED_VALUE"""),879.0)</f>
        <v>879</v>
      </c>
      <c r="K135" t="str">
        <f>IFERROR(__xludf.DUMMYFUNCTION("""COMPUTED_VALUE"""),"Italy")</f>
        <v>Italy</v>
      </c>
      <c r="L135">
        <f>IFERROR(__xludf.DUMMYFUNCTION("""COMPUTED_VALUE"""),1.0)</f>
        <v>1</v>
      </c>
      <c r="M135">
        <f>IFERROR(__xludf.DUMMYFUNCTION("""COMPUTED_VALUE"""),3.0)</f>
        <v>3</v>
      </c>
      <c r="N135">
        <f>IFERROR(__xludf.DUMMYFUNCTION("""COMPUTED_VALUE"""),42297.0)</f>
        <v>42297</v>
      </c>
    </row>
    <row r="136">
      <c r="A136">
        <f>IFERROR(__xludf.DUMMYFUNCTION("""COMPUTED_VALUE"""),748.0)</f>
        <v>748</v>
      </c>
      <c r="B136">
        <f>IFERROR(__xludf.DUMMYFUNCTION("""COMPUTED_VALUE"""),40.6564862369647)</f>
        <v>40.65648624</v>
      </c>
      <c r="C136">
        <f>IFERROR(__xludf.DUMMYFUNCTION("""COMPUTED_VALUE"""),16.5882567576299)</f>
        <v>16.58825676</v>
      </c>
      <c r="D136" t="str">
        <f>IFERROR(__xludf.DUMMYFUNCTION("""COMPUTED_VALUE"""),"Bed &amp; Breakfast")</f>
        <v>Bed &amp; Breakfast</v>
      </c>
      <c r="E136" t="str">
        <f>IFERROR(__xludf.DUMMYFUNCTION("""COMPUTED_VALUE"""),"IL PIZZOCANNICCHIO")</f>
        <v>IL PIZZOCANNICCHIO</v>
      </c>
      <c r="F136" t="str">
        <f>IFERROR(__xludf.DUMMYFUNCTION("""COMPUTED_VALUE"""),"RIBECCO ANNA MARIA")</f>
        <v>RIBECCO ANNA MARIA</v>
      </c>
      <c r="G136" t="str">
        <f>IFERROR(__xludf.DUMMYFUNCTION("""COMPUTED_VALUE"""),"CONTRADA PIZZOCANNICCHIO")</f>
        <v>CONTRADA PIZZOCANNICCHIO</v>
      </c>
      <c r="H136" t="str">
        <f>IFERROR(__xludf.DUMMYFUNCTION("""COMPUTED_VALUE"""),"Matera")</f>
        <v>Matera</v>
      </c>
      <c r="I136">
        <f>IFERROR(__xludf.DUMMYFUNCTION("""COMPUTED_VALUE"""),100.0)</f>
        <v>100</v>
      </c>
      <c r="J136">
        <f>IFERROR(__xludf.DUMMYFUNCTION("""COMPUTED_VALUE"""),519.0)</f>
        <v>519</v>
      </c>
      <c r="K136" t="str">
        <f>IFERROR(__xludf.DUMMYFUNCTION("""COMPUTED_VALUE"""),"Italy")</f>
        <v>Italy</v>
      </c>
      <c r="L136">
        <f>IFERROR(__xludf.DUMMYFUNCTION("""COMPUTED_VALUE"""),3.0)</f>
        <v>3</v>
      </c>
      <c r="M136">
        <f>IFERROR(__xludf.DUMMYFUNCTION("""COMPUTED_VALUE"""),4.0)</f>
        <v>4</v>
      </c>
      <c r="N136">
        <f>IFERROR(__xludf.DUMMYFUNCTION("""COMPUTED_VALUE"""),42338.0)</f>
        <v>42338</v>
      </c>
    </row>
    <row r="137">
      <c r="A137">
        <f>IFERROR(__xludf.DUMMYFUNCTION("""COMPUTED_VALUE"""),750.0)</f>
        <v>750</v>
      </c>
      <c r="B137">
        <f>IFERROR(__xludf.DUMMYFUNCTION("""COMPUTED_VALUE"""),40.6463614049534)</f>
        <v>40.6463614</v>
      </c>
      <c r="C137">
        <f>IFERROR(__xludf.DUMMYFUNCTION("""COMPUTED_VALUE"""),16.6219379491854)</f>
        <v>16.62193795</v>
      </c>
      <c r="D137" t="str">
        <f>IFERROR(__xludf.DUMMYFUNCTION("""COMPUTED_VALUE"""),"Bed &amp; Breakfast")</f>
        <v>Bed &amp; Breakfast</v>
      </c>
      <c r="E137" t="str">
        <f>IFERROR(__xludf.DUMMYFUNCTION("""COMPUTED_VALUE"""),"LA CASA DI ANNA")</f>
        <v>LA CASA DI ANNA</v>
      </c>
      <c r="F137" t="str">
        <f>IFERROR(__xludf.DUMMYFUNCTION("""COMPUTED_VALUE"""),"ANNA MARIA MANICONE")</f>
        <v>ANNA MARIA MANICONE</v>
      </c>
      <c r="G137" t="str">
        <f>IFERROR(__xludf.DUMMYFUNCTION("""COMPUTED_VALUE"""),"VIA RUTIGLIANO 5")</f>
        <v>VIA RUTIGLIANO 5</v>
      </c>
      <c r="H137" t="str">
        <f>IFERROR(__xludf.DUMMYFUNCTION("""COMPUTED_VALUE"""),"Matera")</f>
        <v>Matera</v>
      </c>
      <c r="I137">
        <f>IFERROR(__xludf.DUMMYFUNCTION("""COMPUTED_VALUE"""),106.0)</f>
        <v>106</v>
      </c>
      <c r="J137">
        <f>IFERROR(__xludf.DUMMYFUNCTION("""COMPUTED_VALUE"""),179.0)</f>
        <v>179</v>
      </c>
      <c r="K137" t="str">
        <f>IFERROR(__xludf.DUMMYFUNCTION("""COMPUTED_VALUE"""),"Italy")</f>
        <v>Italy</v>
      </c>
      <c r="L137">
        <f>IFERROR(__xludf.DUMMYFUNCTION("""COMPUTED_VALUE"""),8.0)</f>
        <v>8</v>
      </c>
      <c r="M137">
        <f>IFERROR(__xludf.DUMMYFUNCTION("""COMPUTED_VALUE"""),7.0)</f>
        <v>7</v>
      </c>
      <c r="N137">
        <f>IFERROR(__xludf.DUMMYFUNCTION("""COMPUTED_VALUE"""),42495.0)</f>
        <v>42495</v>
      </c>
    </row>
    <row r="138">
      <c r="A138">
        <f>IFERROR(__xludf.DUMMYFUNCTION("""COMPUTED_VALUE"""),751.0)</f>
        <v>751</v>
      </c>
      <c r="B138">
        <f>IFERROR(__xludf.DUMMYFUNCTION("""COMPUTED_VALUE"""),40.6804591373633)</f>
        <v>40.68045914</v>
      </c>
      <c r="C138">
        <f>IFERROR(__xludf.DUMMYFUNCTION("""COMPUTED_VALUE"""),16.5818723698021)</f>
        <v>16.58187237</v>
      </c>
      <c r="D138" t="str">
        <f>IFERROR(__xludf.DUMMYFUNCTION("""COMPUTED_VALUE"""),"Bed &amp; Breakfast")</f>
        <v>Bed &amp; Breakfast</v>
      </c>
      <c r="E138" t="str">
        <f>IFERROR(__xludf.DUMMYFUNCTION("""COMPUTED_VALUE"""),"LA DOLCE NOTTE")</f>
        <v>LA DOLCE NOTTE</v>
      </c>
      <c r="F138" t="str">
        <f>IFERROR(__xludf.DUMMYFUNCTION("""COMPUTED_VALUE"""),"IANNARELLA SARA")</f>
        <v>IANNARELLA SARA</v>
      </c>
      <c r="G138" t="str">
        <f>IFERROR(__xludf.DUMMYFUNCTION("""COMPUTED_VALUE"""),"VIA VIRGILIO 5")</f>
        <v>VIA VIRGILIO 5</v>
      </c>
      <c r="H138" t="str">
        <f>IFERROR(__xludf.DUMMYFUNCTION("""COMPUTED_VALUE"""),"Matera")</f>
        <v>Matera</v>
      </c>
      <c r="I138">
        <f>IFERROR(__xludf.DUMMYFUNCTION("""COMPUTED_VALUE"""),68.0)</f>
        <v>68</v>
      </c>
      <c r="J138">
        <f>IFERROR(__xludf.DUMMYFUNCTION("""COMPUTED_VALUE"""),717.0)</f>
        <v>717</v>
      </c>
      <c r="K138" t="str">
        <f>IFERROR(__xludf.DUMMYFUNCTION("""COMPUTED_VALUE"""),"Italy")</f>
        <v>Italy</v>
      </c>
      <c r="L138">
        <f>IFERROR(__xludf.DUMMYFUNCTION("""COMPUTED_VALUE"""),64.0)</f>
        <v>64</v>
      </c>
      <c r="M138">
        <f>IFERROR(__xludf.DUMMYFUNCTION("""COMPUTED_VALUE"""),4.0)</f>
        <v>4</v>
      </c>
      <c r="N138">
        <f>IFERROR(__xludf.DUMMYFUNCTION("""COMPUTED_VALUE"""),42696.0)</f>
        <v>42696</v>
      </c>
    </row>
    <row r="139">
      <c r="A139">
        <f>IFERROR(__xludf.DUMMYFUNCTION("""COMPUTED_VALUE"""),752.0)</f>
        <v>752</v>
      </c>
      <c r="B139">
        <f>IFERROR(__xludf.DUMMYFUNCTION("""COMPUTED_VALUE"""),40.6698640964615)</f>
        <v>40.6698641</v>
      </c>
      <c r="C139">
        <f>IFERROR(__xludf.DUMMYFUNCTION("""COMPUTED_VALUE"""),16.6075231644529)</f>
        <v>16.60752316</v>
      </c>
      <c r="D139" t="str">
        <f>IFERROR(__xludf.DUMMYFUNCTION("""COMPUTED_VALUE"""),"Bed &amp; Breakfast")</f>
        <v>Bed &amp; Breakfast</v>
      </c>
      <c r="E139" t="str">
        <f>IFERROR(__xludf.DUMMYFUNCTION("""COMPUTED_VALUE"""),"LA FORMICA")</f>
        <v>LA FORMICA</v>
      </c>
      <c r="F139" t="str">
        <f>IFERROR(__xludf.DUMMYFUNCTION("""COMPUTED_VALUE"""),"MONICA IMBREA")</f>
        <v>MONICA IMBREA</v>
      </c>
      <c r="G139" t="str">
        <f>IFERROR(__xludf.DUMMYFUNCTION("""COMPUTED_VALUE"""),"VIA F. PAOLO VOLPE 6")</f>
        <v>VIA F. PAOLO VOLPE 6</v>
      </c>
      <c r="H139" t="str">
        <f>IFERROR(__xludf.DUMMYFUNCTION("""COMPUTED_VALUE"""),"Matera")</f>
        <v>Matera</v>
      </c>
      <c r="I139">
        <f>IFERROR(__xludf.DUMMYFUNCTION("""COMPUTED_VALUE"""),159.0)</f>
        <v>159</v>
      </c>
      <c r="J139">
        <f>IFERROR(__xludf.DUMMYFUNCTION("""COMPUTED_VALUE"""),3472.0)</f>
        <v>3472</v>
      </c>
      <c r="K139" t="str">
        <f>IFERROR(__xludf.DUMMYFUNCTION("""COMPUTED_VALUE"""),"Italy")</f>
        <v>Italy</v>
      </c>
      <c r="L139">
        <f>IFERROR(__xludf.DUMMYFUNCTION("""COMPUTED_VALUE"""),4.0)</f>
        <v>4</v>
      </c>
      <c r="M139">
        <f>IFERROR(__xludf.DUMMYFUNCTION("""COMPUTED_VALUE"""),6.0)</f>
        <v>6</v>
      </c>
      <c r="N139">
        <f>IFERROR(__xludf.DUMMYFUNCTION("""COMPUTED_VALUE"""),42067.0)</f>
        <v>42067</v>
      </c>
    </row>
    <row r="140">
      <c r="A140">
        <f>IFERROR(__xludf.DUMMYFUNCTION("""COMPUTED_VALUE"""),753.0)</f>
        <v>753</v>
      </c>
      <c r="B140">
        <f>IFERROR(__xludf.DUMMYFUNCTION("""COMPUTED_VALUE"""),40.6444428164746)</f>
        <v>40.64444282</v>
      </c>
      <c r="C140">
        <f>IFERROR(__xludf.DUMMYFUNCTION("""COMPUTED_VALUE"""),16.623500280148)</f>
        <v>16.62350028</v>
      </c>
      <c r="D140" t="str">
        <f>IFERROR(__xludf.DUMMYFUNCTION("""COMPUTED_VALUE"""),"Bed &amp; Breakfast")</f>
        <v>Bed &amp; Breakfast</v>
      </c>
      <c r="E140" t="str">
        <f>IFERROR(__xludf.DUMMYFUNCTION("""COMPUTED_VALUE"""),"LA SPECCHIA")</f>
        <v>LA SPECCHIA</v>
      </c>
      <c r="F140" t="str">
        <f>IFERROR(__xludf.DUMMYFUNCTION("""COMPUTED_VALUE"""),"BELISARIO CIFARELLI")</f>
        <v>BELISARIO CIFARELLI</v>
      </c>
      <c r="G140" t="str">
        <f>IFERROR(__xludf.DUMMYFUNCTION("""COMPUTED_VALUE"""),"VIA TEODORO RICCIARDI 8")</f>
        <v>VIA TEODORO RICCIARDI 8</v>
      </c>
      <c r="H140" t="str">
        <f>IFERROR(__xludf.DUMMYFUNCTION("""COMPUTED_VALUE"""),"Matera")</f>
        <v>Matera</v>
      </c>
      <c r="I140">
        <f>IFERROR(__xludf.DUMMYFUNCTION("""COMPUTED_VALUE"""),106.0)</f>
        <v>106</v>
      </c>
      <c r="J140">
        <f>IFERROR(__xludf.DUMMYFUNCTION("""COMPUTED_VALUE"""),580.0)</f>
        <v>580</v>
      </c>
      <c r="K140" t="str">
        <f>IFERROR(__xludf.DUMMYFUNCTION("""COMPUTED_VALUE"""),"Italy")</f>
        <v>Italy</v>
      </c>
      <c r="L140">
        <f>IFERROR(__xludf.DUMMYFUNCTION("""COMPUTED_VALUE"""),12.0)</f>
        <v>12</v>
      </c>
      <c r="M140">
        <f>IFERROR(__xludf.DUMMYFUNCTION("""COMPUTED_VALUE"""),2.0)</f>
        <v>2</v>
      </c>
      <c r="N140">
        <f>IFERROR(__xludf.DUMMYFUNCTION("""COMPUTED_VALUE"""),42301.0)</f>
        <v>42301</v>
      </c>
    </row>
    <row r="141">
      <c r="A141">
        <f>IFERROR(__xludf.DUMMYFUNCTION("""COMPUTED_VALUE"""),754.0)</f>
        <v>754</v>
      </c>
      <c r="B141">
        <f>IFERROR(__xludf.DUMMYFUNCTION("""COMPUTED_VALUE"""),40.6635927001818)</f>
        <v>40.6635927</v>
      </c>
      <c r="C141">
        <f>IFERROR(__xludf.DUMMYFUNCTION("""COMPUTED_VALUE"""),16.5344867240165)</f>
        <v>16.53448672</v>
      </c>
      <c r="D141" t="str">
        <f>IFERROR(__xludf.DUMMYFUNCTION("""COMPUTED_VALUE"""),"Bed &amp; Breakfast")</f>
        <v>Bed &amp; Breakfast</v>
      </c>
      <c r="E141" t="str">
        <f>IFERROR(__xludf.DUMMYFUNCTION("""COMPUTED_VALUE"""),"L'ANTICO BORGO")</f>
        <v>L'ANTICO BORGO</v>
      </c>
      <c r="F141" t="str">
        <f>IFERROR(__xludf.DUMMYFUNCTION("""COMPUTED_VALUE"""),"ROSSELLA FERRARONI")</f>
        <v>ROSSELLA FERRARONI</v>
      </c>
      <c r="G141" t="str">
        <f>IFERROR(__xludf.DUMMYFUNCTION("""COMPUTED_VALUE"""),"VIA DONATO DONATELLO 1 D")</f>
        <v>VIA DONATO DONATELLO 1 D</v>
      </c>
      <c r="H141" t="str">
        <f>IFERROR(__xludf.DUMMYFUNCTION("""COMPUTED_VALUE"""),"Matera")</f>
        <v>Matera</v>
      </c>
      <c r="I141">
        <f>IFERROR(__xludf.DUMMYFUNCTION("""COMPUTED_VALUE"""),65.0)</f>
        <v>65</v>
      </c>
      <c r="J141">
        <f>IFERROR(__xludf.DUMMYFUNCTION("""COMPUTED_VALUE"""),1434.0)</f>
        <v>1434</v>
      </c>
      <c r="K141" t="str">
        <f>IFERROR(__xludf.DUMMYFUNCTION("""COMPUTED_VALUE"""),"Italy")</f>
        <v>Italy</v>
      </c>
      <c r="L141">
        <f>IFERROR(__xludf.DUMMYFUNCTION("""COMPUTED_VALUE"""),6.0)</f>
        <v>6</v>
      </c>
      <c r="M141">
        <f>IFERROR(__xludf.DUMMYFUNCTION("""COMPUTED_VALUE"""),4.0)</f>
        <v>4</v>
      </c>
      <c r="N141">
        <f>IFERROR(__xludf.DUMMYFUNCTION("""COMPUTED_VALUE"""),42550.0)</f>
        <v>42550</v>
      </c>
    </row>
    <row r="142">
      <c r="A142">
        <f>IFERROR(__xludf.DUMMYFUNCTION("""COMPUTED_VALUE"""),755.0)</f>
        <v>755</v>
      </c>
      <c r="B142">
        <f>IFERROR(__xludf.DUMMYFUNCTION("""COMPUTED_VALUE"""),40.666617)</f>
        <v>40.666617</v>
      </c>
      <c r="C142">
        <f>IFERROR(__xludf.DUMMYFUNCTION("""COMPUTED_VALUE"""),16.608589)</f>
        <v>16.608589</v>
      </c>
      <c r="D142" t="str">
        <f>IFERROR(__xludf.DUMMYFUNCTION("""COMPUTED_VALUE"""),"Bed &amp; Breakfast")</f>
        <v>Bed &amp; Breakfast</v>
      </c>
      <c r="E142" t="str">
        <f>IFERROR(__xludf.DUMMYFUNCTION("""COMPUTED_VALUE"""),"LE RONDINELLE")</f>
        <v>LE RONDINELLE</v>
      </c>
      <c r="F142" t="str">
        <f>IFERROR(__xludf.DUMMYFUNCTION("""COMPUTED_VALUE"""),"ALESSANDRO SACCO")</f>
        <v>ALESSANDRO SACCO</v>
      </c>
      <c r="G142" t="str">
        <f>IFERROR(__xludf.DUMMYFUNCTION("""COMPUTED_VALUE"""),"rec.1¯ Fiorentini 1-2")</f>
        <v>rec.1¯ Fiorentini 1-2</v>
      </c>
      <c r="H142" t="str">
        <f>IFERROR(__xludf.DUMMYFUNCTION("""COMPUTED_VALUE"""),"Matera")</f>
        <v>Matera</v>
      </c>
      <c r="I142" t="str">
        <f>IFERROR(__xludf.DUMMYFUNCTION("""COMPUTED_VALUE"""),"")</f>
        <v/>
      </c>
      <c r="J142" t="str">
        <f>IFERROR(__xludf.DUMMYFUNCTION("""COMPUTED_VALUE"""),"")</f>
        <v/>
      </c>
      <c r="K142" t="str">
        <f>IFERROR(__xludf.DUMMYFUNCTION("""COMPUTED_VALUE"""),"Italy")</f>
        <v>Italy</v>
      </c>
      <c r="L142" t="str">
        <f>IFERROR(__xludf.DUMMYFUNCTION("""COMPUTED_VALUE"""),"")</f>
        <v/>
      </c>
      <c r="M142">
        <f>IFERROR(__xludf.DUMMYFUNCTION("""COMPUTED_VALUE"""),6.0)</f>
        <v>6</v>
      </c>
      <c r="N142">
        <f>IFERROR(__xludf.DUMMYFUNCTION("""COMPUTED_VALUE"""),41446.0)</f>
        <v>41446</v>
      </c>
    </row>
    <row r="143">
      <c r="A143">
        <f>IFERROR(__xludf.DUMMYFUNCTION("""COMPUTED_VALUE"""),756.0)</f>
        <v>756</v>
      </c>
      <c r="B143">
        <f>IFERROR(__xludf.DUMMYFUNCTION("""COMPUTED_VALUE"""),40.6725907365905)</f>
        <v>40.67259074</v>
      </c>
      <c r="C143">
        <f>IFERROR(__xludf.DUMMYFUNCTION("""COMPUTED_VALUE"""),16.605180620748)</f>
        <v>16.60518062</v>
      </c>
      <c r="D143" t="str">
        <f>IFERROR(__xludf.DUMMYFUNCTION("""COMPUTED_VALUE"""),"Bed &amp; Breakfast")</f>
        <v>Bed &amp; Breakfast</v>
      </c>
      <c r="E143" t="str">
        <f>IFERROR(__xludf.DUMMYFUNCTION("""COMPUTED_VALUE"""),"MATERA  CITY")</f>
        <v>MATERA  CITY</v>
      </c>
      <c r="F143" t="str">
        <f>IFERROR(__xludf.DUMMYFUNCTION("""COMPUTED_VALUE"""),"SANTARCANGELO GIUSEPPE")</f>
        <v>SANTARCANGELO GIUSEPPE</v>
      </c>
      <c r="G143" t="str">
        <f>IFERROR(__xludf.DUMMYFUNCTION("""COMPUTED_VALUE"""),"VIA GIOLITTI 25")</f>
        <v>VIA GIOLITTI 25</v>
      </c>
      <c r="H143" t="str">
        <f>IFERROR(__xludf.DUMMYFUNCTION("""COMPUTED_VALUE"""),"Matera")</f>
        <v>Matera</v>
      </c>
      <c r="I143">
        <f>IFERROR(__xludf.DUMMYFUNCTION("""COMPUTED_VALUE"""),159.0)</f>
        <v>159</v>
      </c>
      <c r="J143">
        <f>IFERROR(__xludf.DUMMYFUNCTION("""COMPUTED_VALUE"""),3620.0)</f>
        <v>3620</v>
      </c>
      <c r="K143" t="str">
        <f>IFERROR(__xludf.DUMMYFUNCTION("""COMPUTED_VALUE"""),"Italy")</f>
        <v>Italy</v>
      </c>
      <c r="L143">
        <f>IFERROR(__xludf.DUMMYFUNCTION("""COMPUTED_VALUE"""),12.0)</f>
        <v>12</v>
      </c>
      <c r="M143">
        <f>IFERROR(__xludf.DUMMYFUNCTION("""COMPUTED_VALUE"""),2.0)</f>
        <v>2</v>
      </c>
      <c r="N143">
        <f>IFERROR(__xludf.DUMMYFUNCTION("""COMPUTED_VALUE"""),41207.0)</f>
        <v>41207</v>
      </c>
    </row>
    <row r="144">
      <c r="A144">
        <f>IFERROR(__xludf.DUMMYFUNCTION("""COMPUTED_VALUE"""),757.0)</f>
        <v>757</v>
      </c>
      <c r="B144">
        <f>IFERROR(__xludf.DUMMYFUNCTION("""COMPUTED_VALUE"""),40.6680985476147)</f>
        <v>40.66809855</v>
      </c>
      <c r="C144">
        <f>IFERROR(__xludf.DUMMYFUNCTION("""COMPUTED_VALUE"""),16.6084548235112)</f>
        <v>16.60845482</v>
      </c>
      <c r="D144" t="str">
        <f>IFERROR(__xludf.DUMMYFUNCTION("""COMPUTED_VALUE"""),"Bed &amp; Breakfast")</f>
        <v>Bed &amp; Breakfast</v>
      </c>
      <c r="E144" t="str">
        <f>IFERROR(__xludf.DUMMYFUNCTION("""COMPUTED_VALUE"""),"ANIMA PIETRA SUITE")</f>
        <v>ANIMA PIETRA SUITE</v>
      </c>
      <c r="F144" t="str">
        <f>IFERROR(__xludf.DUMMYFUNCTION("""COMPUTED_VALUE"""),"GROSSI FRANCESCO PAOLO")</f>
        <v>GROSSI FRANCESCO PAOLO</v>
      </c>
      <c r="G144" t="str">
        <f>IFERROR(__xludf.DUMMYFUNCTION("""COMPUTED_VALUE"""),"PIAZZA SAN BIAGIO 3")</f>
        <v>PIAZZA SAN BIAGIO 3</v>
      </c>
      <c r="H144" t="str">
        <f>IFERROR(__xludf.DUMMYFUNCTION("""COMPUTED_VALUE"""),"Matera")</f>
        <v>Matera</v>
      </c>
      <c r="I144">
        <f>IFERROR(__xludf.DUMMYFUNCTION("""COMPUTED_VALUE"""),159.0)</f>
        <v>159</v>
      </c>
      <c r="J144">
        <f>IFERROR(__xludf.DUMMYFUNCTION("""COMPUTED_VALUE"""),2759.0)</f>
        <v>2759</v>
      </c>
      <c r="K144" t="str">
        <f>IFERROR(__xludf.DUMMYFUNCTION("""COMPUTED_VALUE"""),"Italy")</f>
        <v>Italy</v>
      </c>
      <c r="L144">
        <f>IFERROR(__xludf.DUMMYFUNCTION("""COMPUTED_VALUE"""),6.0)</f>
        <v>6</v>
      </c>
      <c r="M144">
        <f>IFERROR(__xludf.DUMMYFUNCTION("""COMPUTED_VALUE"""),2.0)</f>
        <v>2</v>
      </c>
      <c r="N144">
        <f>IFERROR(__xludf.DUMMYFUNCTION("""COMPUTED_VALUE"""),42473.0)</f>
        <v>42473</v>
      </c>
    </row>
    <row r="145">
      <c r="A145">
        <f>IFERROR(__xludf.DUMMYFUNCTION("""COMPUTED_VALUE"""),758.0)</f>
        <v>758</v>
      </c>
      <c r="B145">
        <f>IFERROR(__xludf.DUMMYFUNCTION("""COMPUTED_VALUE"""),40.696678)</f>
        <v>40.696678</v>
      </c>
      <c r="C145">
        <f>IFERROR(__xludf.DUMMYFUNCTION("""COMPUTED_VALUE"""),16.585586)</f>
        <v>16.585586</v>
      </c>
      <c r="D145" t="str">
        <f>IFERROR(__xludf.DUMMYFUNCTION("""COMPUTED_VALUE"""),"Bed &amp; Breakfast")</f>
        <v>Bed &amp; Breakfast</v>
      </c>
      <c r="E145" t="str">
        <f>IFERROR(__xludf.DUMMYFUNCTION("""COMPUTED_VALUE"""),"PINETA PADUCCI")</f>
        <v>PINETA PADUCCI</v>
      </c>
      <c r="F145" t="str">
        <f>IFERROR(__xludf.DUMMYFUNCTION("""COMPUTED_VALUE"""),"PADULA FRANCESCO")</f>
        <v>PADULA FRANCESCO</v>
      </c>
      <c r="G145" t="str">
        <f>IFERROR(__xludf.DUMMYFUNCTION("""COMPUTED_VALUE"""),"contrada Serra Paducci")</f>
        <v>contrada Serra Paducci</v>
      </c>
      <c r="H145" t="str">
        <f>IFERROR(__xludf.DUMMYFUNCTION("""COMPUTED_VALUE"""),"Matera")</f>
        <v>Matera</v>
      </c>
      <c r="I145" t="str">
        <f>IFERROR(__xludf.DUMMYFUNCTION("""COMPUTED_VALUE"""),"")</f>
        <v/>
      </c>
      <c r="J145" t="str">
        <f>IFERROR(__xludf.DUMMYFUNCTION("""COMPUTED_VALUE"""),"")</f>
        <v/>
      </c>
      <c r="K145" t="str">
        <f>IFERROR(__xludf.DUMMYFUNCTION("""COMPUTED_VALUE"""),"Italy")</f>
        <v>Italy</v>
      </c>
      <c r="L145" t="str">
        <f>IFERROR(__xludf.DUMMYFUNCTION("""COMPUTED_VALUE"""),"")</f>
        <v/>
      </c>
      <c r="M145">
        <f>IFERROR(__xludf.DUMMYFUNCTION("""COMPUTED_VALUE"""),4.0)</f>
        <v>4</v>
      </c>
      <c r="N145">
        <f>IFERROR(__xludf.DUMMYFUNCTION("""COMPUTED_VALUE"""),39100.0)</f>
        <v>39100</v>
      </c>
    </row>
    <row r="146">
      <c r="A146">
        <f>IFERROR(__xludf.DUMMYFUNCTION("""COMPUTED_VALUE"""),759.0)</f>
        <v>759</v>
      </c>
      <c r="B146">
        <f>IFERROR(__xludf.DUMMYFUNCTION("""COMPUTED_VALUE"""),40.65509)</f>
        <v>40.65509</v>
      </c>
      <c r="C146">
        <f>IFERROR(__xludf.DUMMYFUNCTION("""COMPUTED_VALUE"""),16.586411)</f>
        <v>16.586411</v>
      </c>
      <c r="D146" t="str">
        <f>IFERROR(__xludf.DUMMYFUNCTION("""COMPUTED_VALUE"""),"Bed &amp; Breakfast")</f>
        <v>Bed &amp; Breakfast</v>
      </c>
      <c r="E146" t="str">
        <f>IFERROR(__xludf.DUMMYFUNCTION("""COMPUTED_VALUE"""),"POZZO MISSEO")</f>
        <v>POZZO MISSEO</v>
      </c>
      <c r="F146" t="str">
        <f>IFERROR(__xludf.DUMMYFUNCTION("""COMPUTED_VALUE"""),"GIUSEPPE PAOLICELLI")</f>
        <v>GIUSEPPE PAOLICELLI</v>
      </c>
      <c r="G146" t="str">
        <f>IFERROR(__xludf.DUMMYFUNCTION("""COMPUTED_VALUE"""),"contrada Pozzo Misseo s.n.c.")</f>
        <v>contrada Pozzo Misseo s.n.c.</v>
      </c>
      <c r="H146" t="str">
        <f>IFERROR(__xludf.DUMMYFUNCTION("""COMPUTED_VALUE"""),"Matera")</f>
        <v>Matera</v>
      </c>
      <c r="I146" t="str">
        <f>IFERROR(__xludf.DUMMYFUNCTION("""COMPUTED_VALUE"""),"")</f>
        <v/>
      </c>
      <c r="J146" t="str">
        <f>IFERROR(__xludf.DUMMYFUNCTION("""COMPUTED_VALUE"""),"")</f>
        <v/>
      </c>
      <c r="K146" t="str">
        <f>IFERROR(__xludf.DUMMYFUNCTION("""COMPUTED_VALUE"""),"Italy")</f>
        <v>Italy</v>
      </c>
      <c r="L146" t="str">
        <f>IFERROR(__xludf.DUMMYFUNCTION("""COMPUTED_VALUE"""),"")</f>
        <v/>
      </c>
      <c r="M146">
        <f>IFERROR(__xludf.DUMMYFUNCTION("""COMPUTED_VALUE"""),6.0)</f>
        <v>6</v>
      </c>
      <c r="N146">
        <f>IFERROR(__xludf.DUMMYFUNCTION("""COMPUTED_VALUE"""),38814.0)</f>
        <v>38814</v>
      </c>
    </row>
    <row r="147">
      <c r="A147">
        <f>IFERROR(__xludf.DUMMYFUNCTION("""COMPUTED_VALUE"""),760.0)</f>
        <v>760</v>
      </c>
      <c r="B147">
        <f>IFERROR(__xludf.DUMMYFUNCTION("""COMPUTED_VALUE"""),40.683412552656)</f>
        <v>40.68341255</v>
      </c>
      <c r="C147">
        <f>IFERROR(__xludf.DUMMYFUNCTION("""COMPUTED_VALUE"""),16.5868605013172)</f>
        <v>16.5868605</v>
      </c>
      <c r="D147" t="str">
        <f>IFERROR(__xludf.DUMMYFUNCTION("""COMPUTED_VALUE"""),"Bed &amp; Breakfast")</f>
        <v>Bed &amp; Breakfast</v>
      </c>
      <c r="E147" t="str">
        <f>IFERROR(__xludf.DUMMYFUNCTION("""COMPUTED_VALUE"""),"PRESIDENT'S HOME")</f>
        <v>PRESIDENT'S HOME</v>
      </c>
      <c r="F147" t="str">
        <f>IFERROR(__xludf.DUMMYFUNCTION("""COMPUTED_VALUE"""),"MARCELLA A. CASAMASSIMA")</f>
        <v>MARCELLA A. CASAMASSIMA</v>
      </c>
      <c r="G147" t="str">
        <f>IFERROR(__xludf.DUMMYFUNCTION("""COMPUTED_VALUE"""),"VIA DEGLI AUSONI 8")</f>
        <v>VIA DEGLI AUSONI 8</v>
      </c>
      <c r="H147" t="str">
        <f>IFERROR(__xludf.DUMMYFUNCTION("""COMPUTED_VALUE"""),"Matera")</f>
        <v>Matera</v>
      </c>
      <c r="I147">
        <f>IFERROR(__xludf.DUMMYFUNCTION("""COMPUTED_VALUE"""),51.0)</f>
        <v>51</v>
      </c>
      <c r="J147">
        <f>IFERROR(__xludf.DUMMYFUNCTION("""COMPUTED_VALUE"""),206.0)</f>
        <v>206</v>
      </c>
      <c r="K147" t="str">
        <f>IFERROR(__xludf.DUMMYFUNCTION("""COMPUTED_VALUE"""),"Italy")</f>
        <v>Italy</v>
      </c>
      <c r="L147">
        <f>IFERROR(__xludf.DUMMYFUNCTION("""COMPUTED_VALUE"""),15.0)</f>
        <v>15</v>
      </c>
      <c r="M147">
        <f>IFERROR(__xludf.DUMMYFUNCTION("""COMPUTED_VALUE"""),4.0)</f>
        <v>4</v>
      </c>
      <c r="N147">
        <f>IFERROR(__xludf.DUMMYFUNCTION("""COMPUTED_VALUE"""),42180.0)</f>
        <v>42180</v>
      </c>
    </row>
    <row r="148">
      <c r="A148">
        <f>IFERROR(__xludf.DUMMYFUNCTION("""COMPUTED_VALUE"""),764.0)</f>
        <v>764</v>
      </c>
      <c r="B148">
        <f>IFERROR(__xludf.DUMMYFUNCTION("""COMPUTED_VALUE"""),40.6702248969708)</f>
        <v>40.6702249</v>
      </c>
      <c r="C148">
        <f>IFERROR(__xludf.DUMMYFUNCTION("""COMPUTED_VALUE"""),16.6085193857962)</f>
        <v>16.60851939</v>
      </c>
      <c r="D148" t="str">
        <f>IFERROR(__xludf.DUMMYFUNCTION("""COMPUTED_VALUE"""),"Bed &amp; Breakfast")</f>
        <v>Bed &amp; Breakfast</v>
      </c>
      <c r="E148" t="str">
        <f>IFERROR(__xludf.DUMMYFUNCTION("""COMPUTED_VALUE"""),"TERRAZZA SUI SASSI")</f>
        <v>TERRAZZA SUI SASSI</v>
      </c>
      <c r="F148" t="str">
        <f>IFERROR(__xludf.DUMMYFUNCTION("""COMPUTED_VALUE"""),"MANCINO MICHELE")</f>
        <v>MANCINO MICHELE</v>
      </c>
      <c r="G148" t="str">
        <f>IFERROR(__xludf.DUMMYFUNCTION("""COMPUTED_VALUE"""),"VIA PIAVE 35")</f>
        <v>VIA PIAVE 35</v>
      </c>
      <c r="H148" t="str">
        <f>IFERROR(__xludf.DUMMYFUNCTION("""COMPUTED_VALUE"""),"Matera")</f>
        <v>Matera</v>
      </c>
      <c r="I148">
        <f>IFERROR(__xludf.DUMMYFUNCTION("""COMPUTED_VALUE"""),159.0)</f>
        <v>159</v>
      </c>
      <c r="J148">
        <f>IFERROR(__xludf.DUMMYFUNCTION("""COMPUTED_VALUE"""),3575.0)</f>
        <v>3575</v>
      </c>
      <c r="K148" t="str">
        <f>IFERROR(__xludf.DUMMYFUNCTION("""COMPUTED_VALUE"""),"Italy")</f>
        <v>Italy</v>
      </c>
      <c r="L148">
        <f>IFERROR(__xludf.DUMMYFUNCTION("""COMPUTED_VALUE"""),18.0)</f>
        <v>18</v>
      </c>
      <c r="M148">
        <f>IFERROR(__xludf.DUMMYFUNCTION("""COMPUTED_VALUE"""),6.0)</f>
        <v>6</v>
      </c>
      <c r="N148">
        <f>IFERROR(__xludf.DUMMYFUNCTION("""COMPUTED_VALUE"""),40584.0)</f>
        <v>40584</v>
      </c>
    </row>
    <row r="149">
      <c r="A149">
        <f>IFERROR(__xludf.DUMMYFUNCTION("""COMPUTED_VALUE"""),766.0)</f>
        <v>766</v>
      </c>
      <c r="B149">
        <f>IFERROR(__xludf.DUMMYFUNCTION("""COMPUTED_VALUE"""),40.6693582951299)</f>
        <v>40.6693583</v>
      </c>
      <c r="C149">
        <f>IFERROR(__xludf.DUMMYFUNCTION("""COMPUTED_VALUE"""),16.6036472144903)</f>
        <v>16.60364721</v>
      </c>
      <c r="D149" t="str">
        <f>IFERROR(__xludf.DUMMYFUNCTION("""COMPUTED_VALUE"""),"Bed &amp; Breakfast")</f>
        <v>Bed &amp; Breakfast</v>
      </c>
      <c r="E149" t="str">
        <f>IFERROR(__xludf.DUMMYFUNCTION("""COMPUTED_VALUE"""),"B&amp;B PAPAPIETRO")</f>
        <v>B&amp;B PAPAPIETRO</v>
      </c>
      <c r="F149" t="str">
        <f>IFERROR(__xludf.DUMMYFUNCTION("""COMPUTED_VALUE"""),"PAPAPIETRO PASQUALE")</f>
        <v>PAPAPIETRO PASQUALE</v>
      </c>
      <c r="G149" t="str">
        <f>IFERROR(__xludf.DUMMYFUNCTION("""COMPUTED_VALUE"""),"VIA LUPO PROTOSPATA 37")</f>
        <v>VIA LUPO PROTOSPATA 37</v>
      </c>
      <c r="H149" t="str">
        <f>IFERROR(__xludf.DUMMYFUNCTION("""COMPUTED_VALUE"""),"Matera")</f>
        <v>Matera</v>
      </c>
      <c r="I149">
        <f>IFERROR(__xludf.DUMMYFUNCTION("""COMPUTED_VALUE"""),71.0)</f>
        <v>71</v>
      </c>
      <c r="J149">
        <f>IFERROR(__xludf.DUMMYFUNCTION("""COMPUTED_VALUE"""),1147.0)</f>
        <v>1147</v>
      </c>
      <c r="K149" t="str">
        <f>IFERROR(__xludf.DUMMYFUNCTION("""COMPUTED_VALUE"""),"Italy")</f>
        <v>Italy</v>
      </c>
      <c r="L149">
        <f>IFERROR(__xludf.DUMMYFUNCTION("""COMPUTED_VALUE"""),8.0)</f>
        <v>8</v>
      </c>
      <c r="M149">
        <f>IFERROR(__xludf.DUMMYFUNCTION("""COMPUTED_VALUE"""),4.0)</f>
        <v>4</v>
      </c>
      <c r="N149">
        <f>IFERROR(__xludf.DUMMYFUNCTION("""COMPUTED_VALUE"""),42722.0)</f>
        <v>42722</v>
      </c>
    </row>
    <row r="150">
      <c r="A150">
        <f>IFERROR(__xludf.DUMMYFUNCTION("""COMPUTED_VALUE"""),767.0)</f>
        <v>767</v>
      </c>
      <c r="B150">
        <f>IFERROR(__xludf.DUMMYFUNCTION("""COMPUTED_VALUE"""),40.6603961839448)</f>
        <v>40.66039618</v>
      </c>
      <c r="C150">
        <f>IFERROR(__xludf.DUMMYFUNCTION("""COMPUTED_VALUE"""),16.6119211982128)</f>
        <v>16.6119212</v>
      </c>
      <c r="D150" t="str">
        <f>IFERROR(__xludf.DUMMYFUNCTION("""COMPUTED_VALUE"""),"Bed &amp; Breakfast")</f>
        <v>Bed &amp; Breakfast</v>
      </c>
      <c r="E150" t="str">
        <f>IFERROR(__xludf.DUMMYFUNCTION("""COMPUTED_VALUE"""),"HISTORY")</f>
        <v>HISTORY</v>
      </c>
      <c r="F150" t="str">
        <f>IFERROR(__xludf.DUMMYFUNCTION("""COMPUTED_VALUE"""),"FESTA ANTONELLA")</f>
        <v>FESTA ANTONELLA</v>
      </c>
      <c r="G150" t="str">
        <f>IFERROR(__xludf.DUMMYFUNCTION("""COMPUTED_VALUE"""),"VIA LUCANA 278")</f>
        <v>VIA LUCANA 278</v>
      </c>
      <c r="H150" t="str">
        <f>IFERROR(__xludf.DUMMYFUNCTION("""COMPUTED_VALUE"""),"Matera")</f>
        <v>Matera</v>
      </c>
      <c r="I150">
        <f>IFERROR(__xludf.DUMMYFUNCTION("""COMPUTED_VALUE"""),103.0)</f>
        <v>103</v>
      </c>
      <c r="J150">
        <f>IFERROR(__xludf.DUMMYFUNCTION("""COMPUTED_VALUE"""),42.0)</f>
        <v>42</v>
      </c>
      <c r="K150" t="str">
        <f>IFERROR(__xludf.DUMMYFUNCTION("""COMPUTED_VALUE"""),"Italy")</f>
        <v>Italy</v>
      </c>
      <c r="L150">
        <f>IFERROR(__xludf.DUMMYFUNCTION("""COMPUTED_VALUE"""),5.0)</f>
        <v>5</v>
      </c>
      <c r="M150">
        <f>IFERROR(__xludf.DUMMYFUNCTION("""COMPUTED_VALUE"""),4.0)</f>
        <v>4</v>
      </c>
      <c r="N150">
        <f>IFERROR(__xludf.DUMMYFUNCTION("""COMPUTED_VALUE"""),42712.0)</f>
        <v>42712</v>
      </c>
    </row>
    <row r="151">
      <c r="A151">
        <f>IFERROR(__xludf.DUMMYFUNCTION("""COMPUTED_VALUE"""),768.0)</f>
        <v>768</v>
      </c>
      <c r="B151">
        <f>IFERROR(__xludf.DUMMYFUNCTION("""COMPUTED_VALUE"""),40.6612013052547)</f>
        <v>40.66120131</v>
      </c>
      <c r="C151">
        <f>IFERROR(__xludf.DUMMYFUNCTION("""COMPUTED_VALUE"""),16.6123110701766)</f>
        <v>16.61231107</v>
      </c>
      <c r="D151" t="str">
        <f>IFERROR(__xludf.DUMMYFUNCTION("""COMPUTED_VALUE"""),"Bed &amp; Breakfast")</f>
        <v>Bed &amp; Breakfast</v>
      </c>
      <c r="E151" t="str">
        <f>IFERROR(__xludf.DUMMYFUNCTION("""COMPUTED_VALUE"""),"SISTER'S IN LOVE")</f>
        <v>SISTER'S IN LOVE</v>
      </c>
      <c r="F151" t="str">
        <f>IFERROR(__xludf.DUMMYFUNCTION("""COMPUTED_VALUE"""),"GIASI GIUSEPPE")</f>
        <v>GIASI GIUSEPPE</v>
      </c>
      <c r="G151" t="str">
        <f>IFERROR(__xludf.DUMMYFUNCTION("""COMPUTED_VALUE"""),"REC 5°LUCANO 11")</f>
        <v>REC 5°LUCANO 11</v>
      </c>
      <c r="H151" t="str">
        <f>IFERROR(__xludf.DUMMYFUNCTION("""COMPUTED_VALUE"""),"Matera")</f>
        <v>Matera</v>
      </c>
      <c r="I151">
        <f>IFERROR(__xludf.DUMMYFUNCTION("""COMPUTED_VALUE"""),159.0)</f>
        <v>159</v>
      </c>
      <c r="J151">
        <f>IFERROR(__xludf.DUMMYFUNCTION("""COMPUTED_VALUE"""),2538.0)</f>
        <v>2538</v>
      </c>
      <c r="K151" t="str">
        <f>IFERROR(__xludf.DUMMYFUNCTION("""COMPUTED_VALUE"""),"Italy")</f>
        <v>Italy</v>
      </c>
      <c r="L151">
        <f>IFERROR(__xludf.DUMMYFUNCTION("""COMPUTED_VALUE"""),17.0)</f>
        <v>17</v>
      </c>
      <c r="M151">
        <f>IFERROR(__xludf.DUMMYFUNCTION("""COMPUTED_VALUE"""),2.0)</f>
        <v>2</v>
      </c>
      <c r="N151">
        <f>IFERROR(__xludf.DUMMYFUNCTION("""COMPUTED_VALUE"""),42908.0)</f>
        <v>42908</v>
      </c>
    </row>
    <row r="152">
      <c r="A152">
        <f>IFERROR(__xludf.DUMMYFUNCTION("""COMPUTED_VALUE"""),769.0)</f>
        <v>769</v>
      </c>
      <c r="B152">
        <f>IFERROR(__xludf.DUMMYFUNCTION("""COMPUTED_VALUE"""),40.665857843574)</f>
        <v>40.66585784</v>
      </c>
      <c r="C152">
        <f>IFERROR(__xludf.DUMMYFUNCTION("""COMPUTED_VALUE"""),16.6079426988031)</f>
        <v>16.6079427</v>
      </c>
      <c r="D152" t="str">
        <f>IFERROR(__xludf.DUMMYFUNCTION("""COMPUTED_VALUE"""),"Bed &amp; Breakfast")</f>
        <v>Bed &amp; Breakfast</v>
      </c>
      <c r="E152" t="str">
        <f>IFERROR(__xludf.DUMMYFUNCTION("""COMPUTED_VALUE"""),"B &amp; B AL VICO")</f>
        <v>B &amp; B AL VICO</v>
      </c>
      <c r="F152" t="str">
        <f>IFERROR(__xludf.DUMMYFUNCTION("""COMPUTED_VALUE"""),"NOTARO ANDREA")</f>
        <v>NOTARO ANDREA</v>
      </c>
      <c r="G152" t="str">
        <f>IFERROR(__xludf.DUMMYFUNCTION("""COMPUTED_VALUE"""),"VICO SAN GIUSEPPE.31/33")</f>
        <v>VICO SAN GIUSEPPE.31/33</v>
      </c>
      <c r="H152" t="str">
        <f>IFERROR(__xludf.DUMMYFUNCTION("""COMPUTED_VALUE"""),"Matera")</f>
        <v>Matera</v>
      </c>
      <c r="I152">
        <f>IFERROR(__xludf.DUMMYFUNCTION("""COMPUTED_VALUE"""),159.0)</f>
        <v>159</v>
      </c>
      <c r="J152">
        <f>IFERROR(__xludf.DUMMYFUNCTION("""COMPUTED_VALUE"""),678.0)</f>
        <v>678</v>
      </c>
      <c r="K152" t="str">
        <f>IFERROR(__xludf.DUMMYFUNCTION("""COMPUTED_VALUE"""),"Italy")</f>
        <v>Italy</v>
      </c>
      <c r="L152">
        <f>IFERROR(__xludf.DUMMYFUNCTION("""COMPUTED_VALUE"""),22.0)</f>
        <v>22</v>
      </c>
      <c r="M152">
        <f>IFERROR(__xludf.DUMMYFUNCTION("""COMPUTED_VALUE"""),4.0)</f>
        <v>4</v>
      </c>
      <c r="N152">
        <f>IFERROR(__xludf.DUMMYFUNCTION("""COMPUTED_VALUE"""),42880.0)</f>
        <v>42880</v>
      </c>
    </row>
    <row r="153">
      <c r="A153">
        <f>IFERROR(__xludf.DUMMYFUNCTION("""COMPUTED_VALUE"""),770.0)</f>
        <v>770</v>
      </c>
      <c r="B153">
        <f>IFERROR(__xludf.DUMMYFUNCTION("""COMPUTED_VALUE"""),40.6696954170172)</f>
        <v>40.66969542</v>
      </c>
      <c r="C153">
        <f>IFERROR(__xludf.DUMMYFUNCTION("""COMPUTED_VALUE"""),16.6046104927944)</f>
        <v>16.60461049</v>
      </c>
      <c r="D153" t="str">
        <f>IFERROR(__xludf.DUMMYFUNCTION("""COMPUTED_VALUE"""),"Bed &amp; Breakfast")</f>
        <v>Bed &amp; Breakfast</v>
      </c>
      <c r="E153" t="str">
        <f>IFERROR(__xludf.DUMMYFUNCTION("""COMPUTED_VALUE"""),"b &amp; b GREEN")</f>
        <v>b &amp; b GREEN</v>
      </c>
      <c r="F153" t="str">
        <f>IFERROR(__xludf.DUMMYFUNCTION("""COMPUTED_VALUE"""),"MARIA CRISTINA FERRO")</f>
        <v>MARIA CRISTINA FERRO</v>
      </c>
      <c r="G153" t="str">
        <f>IFERROR(__xludf.DUMMYFUNCTION("""COMPUTED_VALUE"""),"VIA L. PROTOSPATA 50")</f>
        <v>VIA L. PROTOSPATA 50</v>
      </c>
      <c r="H153" t="str">
        <f>IFERROR(__xludf.DUMMYFUNCTION("""COMPUTED_VALUE"""),"Matera")</f>
        <v>Matera</v>
      </c>
      <c r="I153">
        <f>IFERROR(__xludf.DUMMYFUNCTION("""COMPUTED_VALUE"""),159.0)</f>
        <v>159</v>
      </c>
      <c r="J153">
        <f>IFERROR(__xludf.DUMMYFUNCTION("""COMPUTED_VALUE"""),5041.0)</f>
        <v>5041</v>
      </c>
      <c r="K153" t="str">
        <f>IFERROR(__xludf.DUMMYFUNCTION("""COMPUTED_VALUE"""),"Italy")</f>
        <v>Italy</v>
      </c>
      <c r="L153">
        <f>IFERROR(__xludf.DUMMYFUNCTION("""COMPUTED_VALUE"""),14.0)</f>
        <v>14</v>
      </c>
      <c r="M153">
        <f>IFERROR(__xludf.DUMMYFUNCTION("""COMPUTED_VALUE"""),3.0)</f>
        <v>3</v>
      </c>
      <c r="N153">
        <f>IFERROR(__xludf.DUMMYFUNCTION("""COMPUTED_VALUE"""),42942.0)</f>
        <v>42942</v>
      </c>
    </row>
    <row r="154">
      <c r="A154">
        <f>IFERROR(__xludf.DUMMYFUNCTION("""COMPUTED_VALUE"""),771.0)</f>
        <v>771</v>
      </c>
      <c r="B154">
        <f>IFERROR(__xludf.DUMMYFUNCTION("""COMPUTED_VALUE"""),40.665662944017)</f>
        <v>40.66566294</v>
      </c>
      <c r="C154">
        <f>IFERROR(__xludf.DUMMYFUNCTION("""COMPUTED_VALUE"""),16.5333815322329)</f>
        <v>16.53338153</v>
      </c>
      <c r="D154" t="str">
        <f>IFERROR(__xludf.DUMMYFUNCTION("""COMPUTED_VALUE"""),"Bed &amp; Breakfast")</f>
        <v>Bed &amp; Breakfast</v>
      </c>
      <c r="E154" t="str">
        <f>IFERROR(__xludf.DUMMYFUNCTION("""COMPUTED_VALUE"""),"ARON")</f>
        <v>ARON</v>
      </c>
      <c r="F154" t="str">
        <f>IFERROR(__xludf.DUMMYFUNCTION("""COMPUTED_VALUE"""),"LOPONTE DOMENICA MARIA")</f>
        <v>LOPONTE DOMENICA MARIA</v>
      </c>
      <c r="G154" t="str">
        <f>IFERROR(__xludf.DUMMYFUNCTION("""COMPUTED_VALUE"""),"VIALE MANTEGNA ANDREA 104")</f>
        <v>VIALE MANTEGNA ANDREA 104</v>
      </c>
      <c r="H154" t="str">
        <f>IFERROR(__xludf.DUMMYFUNCTION("""COMPUTED_VALUE"""),"Matera")</f>
        <v>Matera</v>
      </c>
      <c r="I154">
        <f>IFERROR(__xludf.DUMMYFUNCTION("""COMPUTED_VALUE"""),65.0)</f>
        <v>65</v>
      </c>
      <c r="J154">
        <f>IFERROR(__xludf.DUMMYFUNCTION("""COMPUTED_VALUE"""),1875.0)</f>
        <v>1875</v>
      </c>
      <c r="K154" t="str">
        <f>IFERROR(__xludf.DUMMYFUNCTION("""COMPUTED_VALUE"""),"Italy")</f>
        <v>Italy</v>
      </c>
      <c r="L154">
        <f>IFERROR(__xludf.DUMMYFUNCTION("""COMPUTED_VALUE"""),5.0)</f>
        <v>5</v>
      </c>
      <c r="M154">
        <f>IFERROR(__xludf.DUMMYFUNCTION("""COMPUTED_VALUE"""),4.0)</f>
        <v>4</v>
      </c>
      <c r="N154">
        <f>IFERROR(__xludf.DUMMYFUNCTION("""COMPUTED_VALUE"""),42881.0)</f>
        <v>42881</v>
      </c>
    </row>
    <row r="155">
      <c r="A155">
        <f>IFERROR(__xludf.DUMMYFUNCTION("""COMPUTED_VALUE"""),772.0)</f>
        <v>772</v>
      </c>
      <c r="B155">
        <f>IFERROR(__xludf.DUMMYFUNCTION("""COMPUTED_VALUE"""),40.670460307339)</f>
        <v>40.67046031</v>
      </c>
      <c r="C155">
        <f>IFERROR(__xludf.DUMMYFUNCTION("""COMPUTED_VALUE"""),16.6029981071451)</f>
        <v>16.60299811</v>
      </c>
      <c r="D155" t="str">
        <f>IFERROR(__xludf.DUMMYFUNCTION("""COMPUTED_VALUE"""),"Bed &amp; Breakfast")</f>
        <v>Bed &amp; Breakfast</v>
      </c>
      <c r="E155" t="str">
        <f>IFERROR(__xludf.DUMMYFUNCTION("""COMPUTED_VALUE"""),"B &amp; B ORLANDO")</f>
        <v>B &amp; B ORLANDO</v>
      </c>
      <c r="F155" t="str">
        <f>IFERROR(__xludf.DUMMYFUNCTION("""COMPUTED_VALUE"""),"ORLANDO MASSIMILIANO")</f>
        <v>ORLANDO MASSIMILIANO</v>
      </c>
      <c r="G155" t="str">
        <f>IFERROR(__xludf.DUMMYFUNCTION("""COMPUTED_VALUE"""),"VIA L. PROTOSPATA 74")</f>
        <v>VIA L. PROTOSPATA 74</v>
      </c>
      <c r="H155" t="str">
        <f>IFERROR(__xludf.DUMMYFUNCTION("""COMPUTED_VALUE"""),"Matera")</f>
        <v>Matera</v>
      </c>
      <c r="I155">
        <f>IFERROR(__xludf.DUMMYFUNCTION("""COMPUTED_VALUE"""),71.0)</f>
        <v>71</v>
      </c>
      <c r="J155">
        <f>IFERROR(__xludf.DUMMYFUNCTION("""COMPUTED_VALUE"""),861.0)</f>
        <v>861</v>
      </c>
      <c r="K155" t="str">
        <f>IFERROR(__xludf.DUMMYFUNCTION("""COMPUTED_VALUE"""),"Italy")</f>
        <v>Italy</v>
      </c>
      <c r="L155">
        <f>IFERROR(__xludf.DUMMYFUNCTION("""COMPUTED_VALUE"""),27.0)</f>
        <v>27</v>
      </c>
      <c r="M155">
        <f>IFERROR(__xludf.DUMMYFUNCTION("""COMPUTED_VALUE"""),6.0)</f>
        <v>6</v>
      </c>
      <c r="N155">
        <f>IFERROR(__xludf.DUMMYFUNCTION("""COMPUTED_VALUE"""),42900.0)</f>
        <v>42900</v>
      </c>
    </row>
    <row r="156">
      <c r="A156">
        <f>IFERROR(__xludf.DUMMYFUNCTION("""COMPUTED_VALUE"""),773.0)</f>
        <v>773</v>
      </c>
      <c r="B156">
        <f>IFERROR(__xludf.DUMMYFUNCTION("""COMPUTED_VALUE"""),40.6787302449589)</f>
        <v>40.67873024</v>
      </c>
      <c r="C156">
        <f>IFERROR(__xludf.DUMMYFUNCTION("""COMPUTED_VALUE"""),16.5759451791836)</f>
        <v>16.57594518</v>
      </c>
      <c r="D156" t="str">
        <f>IFERROR(__xludf.DUMMYFUNCTION("""COMPUTED_VALUE"""),"Bed &amp; Breakfast")</f>
        <v>Bed &amp; Breakfast</v>
      </c>
      <c r="E156" t="str">
        <f>IFERROR(__xludf.DUMMYFUNCTION("""COMPUTED_VALUE"""),"B&amp;B ELIDE")</f>
        <v>B&amp;B ELIDE</v>
      </c>
      <c r="F156" t="str">
        <f>IFERROR(__xludf.DUMMYFUNCTION("""COMPUTED_VALUE"""),"DI PEDE ROSALBA")</f>
        <v>DI PEDE ROSALBA</v>
      </c>
      <c r="G156" t="str">
        <f>IFERROR(__xludf.DUMMYFUNCTION("""COMPUTED_VALUE"""),"VIA TARANTO 12")</f>
        <v>VIA TARANTO 12</v>
      </c>
      <c r="H156" t="str">
        <f>IFERROR(__xludf.DUMMYFUNCTION("""COMPUTED_VALUE"""),"Matera")</f>
        <v>Matera</v>
      </c>
      <c r="I156">
        <f>IFERROR(__xludf.DUMMYFUNCTION("""COMPUTED_VALUE"""),67.0)</f>
        <v>67</v>
      </c>
      <c r="J156">
        <f>IFERROR(__xludf.DUMMYFUNCTION("""COMPUTED_VALUE"""),2593.0)</f>
        <v>2593</v>
      </c>
      <c r="K156" t="str">
        <f>IFERROR(__xludf.DUMMYFUNCTION("""COMPUTED_VALUE"""),"Italy")</f>
        <v>Italy</v>
      </c>
      <c r="L156">
        <f>IFERROR(__xludf.DUMMYFUNCTION("""COMPUTED_VALUE"""),9.0)</f>
        <v>9</v>
      </c>
      <c r="M156">
        <f>IFERROR(__xludf.DUMMYFUNCTION("""COMPUTED_VALUE"""),4.0)</f>
        <v>4</v>
      </c>
      <c r="N156">
        <f>IFERROR(__xludf.DUMMYFUNCTION("""COMPUTED_VALUE"""),43011.0)</f>
        <v>43011</v>
      </c>
    </row>
    <row r="157">
      <c r="A157">
        <f>IFERROR(__xludf.DUMMYFUNCTION("""COMPUTED_VALUE"""),774.0)</f>
        <v>774</v>
      </c>
      <c r="B157">
        <f>IFERROR(__xludf.DUMMYFUNCTION("""COMPUTED_VALUE"""),40.6594864436558)</f>
        <v>40.65948644</v>
      </c>
      <c r="C157">
        <f>IFERROR(__xludf.DUMMYFUNCTION("""COMPUTED_VALUE"""),16.612170751653)</f>
        <v>16.61217075</v>
      </c>
      <c r="D157" t="str">
        <f>IFERROR(__xludf.DUMMYFUNCTION("""COMPUTED_VALUE"""),"Bed &amp; Breakfast")</f>
        <v>Bed &amp; Breakfast</v>
      </c>
      <c r="E157" t="str">
        <f>IFERROR(__xludf.DUMMYFUNCTION("""COMPUTED_VALUE"""),"CASA CRISTALLO")</f>
        <v>CASA CRISTALLO</v>
      </c>
      <c r="F157" t="str">
        <f>IFERROR(__xludf.DUMMYFUNCTION("""COMPUTED_VALUE"""),"VALENTINA CRISTALLO")</f>
        <v>VALENTINA CRISTALLO</v>
      </c>
      <c r="G157" t="str">
        <f>IFERROR(__xludf.DUMMYFUNCTION("""COMPUTED_VALUE"""),"VIA G. FORTUNATO 39 piano terra")</f>
        <v>VIA G. FORTUNATO 39 piano terra</v>
      </c>
      <c r="H157" t="str">
        <f>IFERROR(__xludf.DUMMYFUNCTION("""COMPUTED_VALUE"""),"Matera")</f>
        <v>Matera</v>
      </c>
      <c r="I157">
        <f>IFERROR(__xludf.DUMMYFUNCTION("""COMPUTED_VALUE"""),103.0)</f>
        <v>103</v>
      </c>
      <c r="J157">
        <f>IFERROR(__xludf.DUMMYFUNCTION("""COMPUTED_VALUE"""),310.0)</f>
        <v>310</v>
      </c>
      <c r="K157" t="str">
        <f>IFERROR(__xludf.DUMMYFUNCTION("""COMPUTED_VALUE"""),"Italy")</f>
        <v>Italy</v>
      </c>
      <c r="L157" t="str">
        <f>IFERROR(__xludf.DUMMYFUNCTION("""COMPUTED_VALUE"""),"")</f>
        <v/>
      </c>
      <c r="M157">
        <f>IFERROR(__xludf.DUMMYFUNCTION("""COMPUTED_VALUE"""),4.0)</f>
        <v>4</v>
      </c>
      <c r="N157">
        <f>IFERROR(__xludf.DUMMYFUNCTION("""COMPUTED_VALUE"""),43027.0)</f>
        <v>43027</v>
      </c>
    </row>
    <row r="158">
      <c r="A158">
        <f>IFERROR(__xludf.DUMMYFUNCTION("""COMPUTED_VALUE"""),775.0)</f>
        <v>775</v>
      </c>
      <c r="B158">
        <f>IFERROR(__xludf.DUMMYFUNCTION("""COMPUTED_VALUE"""),40.6451097489143)</f>
        <v>40.64510975</v>
      </c>
      <c r="C158">
        <f>IFERROR(__xludf.DUMMYFUNCTION("""COMPUTED_VALUE"""),16.6173037791307)</f>
        <v>16.61730378</v>
      </c>
      <c r="D158" t="str">
        <f>IFERROR(__xludf.DUMMYFUNCTION("""COMPUTED_VALUE"""),"Bed &amp; Breakfast")</f>
        <v>Bed &amp; Breakfast</v>
      </c>
      <c r="E158" t="str">
        <f>IFERROR(__xludf.DUMMYFUNCTION("""COMPUTED_VALUE"""),"DONNA NICLA MATERA")</f>
        <v>DONNA NICLA MATERA</v>
      </c>
      <c r="F158" t="str">
        <f>IFERROR(__xludf.DUMMYFUNCTION("""COMPUTED_VALUE"""),"ALBANESE ANDREA PIETRO GIOVANNI")</f>
        <v>ALBANESE ANDREA PIETRO GIOVANNI</v>
      </c>
      <c r="G158" t="str">
        <f>IFERROR(__xludf.DUMMYFUNCTION("""COMPUTED_VALUE"""),"VIA TURI 50")</f>
        <v>VIA TURI 50</v>
      </c>
      <c r="H158" t="str">
        <f>IFERROR(__xludf.DUMMYFUNCTION("""COMPUTED_VALUE"""),"Matera")</f>
        <v>Matera</v>
      </c>
      <c r="I158">
        <f>IFERROR(__xludf.DUMMYFUNCTION("""COMPUTED_VALUE"""),113.0)</f>
        <v>113</v>
      </c>
      <c r="J158">
        <f>IFERROR(__xludf.DUMMYFUNCTION("""COMPUTED_VALUE"""),187.0)</f>
        <v>187</v>
      </c>
      <c r="K158" t="str">
        <f>IFERROR(__xludf.DUMMYFUNCTION("""COMPUTED_VALUE"""),"Italy")</f>
        <v>Italy</v>
      </c>
      <c r="L158">
        <f>IFERROR(__xludf.DUMMYFUNCTION("""COMPUTED_VALUE"""),4.0)</f>
        <v>4</v>
      </c>
      <c r="M158">
        <f>IFERROR(__xludf.DUMMYFUNCTION("""COMPUTED_VALUE"""),6.0)</f>
        <v>6</v>
      </c>
      <c r="N158">
        <f>IFERROR(__xludf.DUMMYFUNCTION("""COMPUTED_VALUE"""),43033.0)</f>
        <v>43033</v>
      </c>
    </row>
    <row r="159">
      <c r="A159">
        <f>IFERROR(__xludf.DUMMYFUNCTION("""COMPUTED_VALUE"""),776.0)</f>
        <v>776</v>
      </c>
      <c r="B159">
        <f>IFERROR(__xludf.DUMMYFUNCTION("""COMPUTED_VALUE"""),40.6676780594348)</f>
        <v>40.66767806</v>
      </c>
      <c r="C159">
        <f>IFERROR(__xludf.DUMMYFUNCTION("""COMPUTED_VALUE"""),16.6098548340255)</f>
        <v>16.60985483</v>
      </c>
      <c r="D159" t="str">
        <f>IFERROR(__xludf.DUMMYFUNCTION("""COMPUTED_VALUE"""),"Bed &amp; Breakfast")</f>
        <v>Bed &amp; Breakfast</v>
      </c>
      <c r="E159" t="str">
        <f>IFERROR(__xludf.DUMMYFUNCTION("""COMPUTED_VALUE"""),"B &amp; B DA IDA")</f>
        <v>B &amp; B DA IDA</v>
      </c>
      <c r="F159" t="str">
        <f>IFERROR(__xludf.DUMMYFUNCTION("""COMPUTED_VALUE"""),"IDA IMMACOLATA RICCARDO")</f>
        <v>IDA IMMACOLATA RICCARDO</v>
      </c>
      <c r="G159" t="str">
        <f>IFERROR(__xludf.DUMMYFUNCTION("""COMPUTED_VALUE"""),"VIA SAN GENNARO VECCHIO 66")</f>
        <v>VIA SAN GENNARO VECCHIO 66</v>
      </c>
      <c r="H159" t="str">
        <f>IFERROR(__xludf.DUMMYFUNCTION("""COMPUTED_VALUE"""),"Matera")</f>
        <v>Matera</v>
      </c>
      <c r="I159">
        <f>IFERROR(__xludf.DUMMYFUNCTION("""COMPUTED_VALUE"""),159.0)</f>
        <v>159</v>
      </c>
      <c r="J159">
        <f>IFERROR(__xludf.DUMMYFUNCTION("""COMPUTED_VALUE"""),297.0)</f>
        <v>297</v>
      </c>
      <c r="K159" t="str">
        <f>IFERROR(__xludf.DUMMYFUNCTION("""COMPUTED_VALUE"""),"Italy")</f>
        <v>Italy</v>
      </c>
      <c r="L159">
        <f>IFERROR(__xludf.DUMMYFUNCTION("""COMPUTED_VALUE"""),4.0)</f>
        <v>4</v>
      </c>
      <c r="M159">
        <f>IFERROR(__xludf.DUMMYFUNCTION("""COMPUTED_VALUE"""),8.0)</f>
        <v>8</v>
      </c>
      <c r="N159">
        <f>IFERROR(__xludf.DUMMYFUNCTION("""COMPUTED_VALUE"""),42530.0)</f>
        <v>42530</v>
      </c>
    </row>
    <row r="160">
      <c r="A160">
        <f>IFERROR(__xludf.DUMMYFUNCTION("""COMPUTED_VALUE"""),778.0)</f>
        <v>778</v>
      </c>
      <c r="B160">
        <f>IFERROR(__xludf.DUMMYFUNCTION("""COMPUTED_VALUE"""),40.6656054375091)</f>
        <v>40.66560544</v>
      </c>
      <c r="C160">
        <f>IFERROR(__xludf.DUMMYFUNCTION("""COMPUTED_VALUE"""),16.6118942188109)</f>
        <v>16.61189422</v>
      </c>
      <c r="D160" t="str">
        <f>IFERROR(__xludf.DUMMYFUNCTION("""COMPUTED_VALUE"""),"Bed &amp; Breakfast")</f>
        <v>Bed &amp; Breakfast</v>
      </c>
      <c r="E160" t="str">
        <f>IFERROR(__xludf.DUMMYFUNCTION("""COMPUTED_VALUE"""),"CORTE DEI VENTI")</f>
        <v>CORTE DEI VENTI</v>
      </c>
      <c r="F160" t="str">
        <f>IFERROR(__xludf.DUMMYFUNCTION("""COMPUTED_VALUE"""),"SERENA ALTIERI")</f>
        <v>SERENA ALTIERI</v>
      </c>
      <c r="G160" t="str">
        <f>IFERROR(__xludf.DUMMYFUNCTION("""COMPUTED_VALUE"""),"VIA SAN GIACOMO 20")</f>
        <v>VIA SAN GIACOMO 20</v>
      </c>
      <c r="H160" t="str">
        <f>IFERROR(__xludf.DUMMYFUNCTION("""COMPUTED_VALUE"""),"Matera")</f>
        <v>Matera</v>
      </c>
      <c r="I160">
        <f>IFERROR(__xludf.DUMMYFUNCTION("""COMPUTED_VALUE"""),159.0)</f>
        <v>159</v>
      </c>
      <c r="J160">
        <f>IFERROR(__xludf.DUMMYFUNCTION("""COMPUTED_VALUE"""),1599.0)</f>
        <v>1599</v>
      </c>
      <c r="K160" t="str">
        <f>IFERROR(__xludf.DUMMYFUNCTION("""COMPUTED_VALUE"""),"Italy")</f>
        <v>Italy</v>
      </c>
      <c r="L160">
        <f>IFERROR(__xludf.DUMMYFUNCTION("""COMPUTED_VALUE"""),4.0)</f>
        <v>4</v>
      </c>
      <c r="M160">
        <f>IFERROR(__xludf.DUMMYFUNCTION("""COMPUTED_VALUE"""),4.0)</f>
        <v>4</v>
      </c>
      <c r="N160">
        <f>IFERROR(__xludf.DUMMYFUNCTION("""COMPUTED_VALUE"""),42444.0)</f>
        <v>42444</v>
      </c>
    </row>
    <row r="161">
      <c r="A161">
        <f>IFERROR(__xludf.DUMMYFUNCTION("""COMPUTED_VALUE"""),779.0)</f>
        <v>779</v>
      </c>
      <c r="B161">
        <f>IFERROR(__xludf.DUMMYFUNCTION("""COMPUTED_VALUE"""),40.6716570545974)</f>
        <v>40.67165705</v>
      </c>
      <c r="C161">
        <f>IFERROR(__xludf.DUMMYFUNCTION("""COMPUTED_VALUE"""),16.6036353767038)</f>
        <v>16.60363538</v>
      </c>
      <c r="D161" t="str">
        <f>IFERROR(__xludf.DUMMYFUNCTION("""COMPUTED_VALUE"""),"Bed &amp; Breakfast")</f>
        <v>Bed &amp; Breakfast</v>
      </c>
      <c r="E161" t="str">
        <f>IFERROR(__xludf.DUMMYFUNCTION("""COMPUTED_VALUE"""),"ANNUNZIATELLA 95")</f>
        <v>ANNUNZIATELLA 95</v>
      </c>
      <c r="F161" t="str">
        <f>IFERROR(__xludf.DUMMYFUNCTION("""COMPUTED_VALUE"""),"MARIA CRISTINA PARENTE")</f>
        <v>MARIA CRISTINA PARENTE</v>
      </c>
      <c r="G161" t="str">
        <f>IFERROR(__xludf.DUMMYFUNCTION("""COMPUTED_VALUE"""),"VIA ANNUNZIATELLA 95")</f>
        <v>VIA ANNUNZIATELLA 95</v>
      </c>
      <c r="H161" t="str">
        <f>IFERROR(__xludf.DUMMYFUNCTION("""COMPUTED_VALUE"""),"Matera")</f>
        <v>Matera</v>
      </c>
      <c r="I161">
        <f>IFERROR(__xludf.DUMMYFUNCTION("""COMPUTED_VALUE"""),71.0)</f>
        <v>71</v>
      </c>
      <c r="J161">
        <f>IFERROR(__xludf.DUMMYFUNCTION("""COMPUTED_VALUE"""),594.0)</f>
        <v>594</v>
      </c>
      <c r="K161" t="str">
        <f>IFERROR(__xludf.DUMMYFUNCTION("""COMPUTED_VALUE"""),"Italy")</f>
        <v>Italy</v>
      </c>
      <c r="L161">
        <f>IFERROR(__xludf.DUMMYFUNCTION("""COMPUTED_VALUE"""),16.0)</f>
        <v>16</v>
      </c>
      <c r="M161">
        <f>IFERROR(__xludf.DUMMYFUNCTION("""COMPUTED_VALUE"""),4.0)</f>
        <v>4</v>
      </c>
      <c r="N161">
        <f>IFERROR(__xludf.DUMMYFUNCTION("""COMPUTED_VALUE"""),42424.0)</f>
        <v>42424</v>
      </c>
    </row>
    <row r="162">
      <c r="A162">
        <f>IFERROR(__xludf.DUMMYFUNCTION("""COMPUTED_VALUE"""),781.0)</f>
        <v>781</v>
      </c>
      <c r="B162">
        <f>IFERROR(__xludf.DUMMYFUNCTION("""COMPUTED_VALUE"""),40.6655916783027)</f>
        <v>40.66559168</v>
      </c>
      <c r="C162">
        <f>IFERROR(__xludf.DUMMYFUNCTION("""COMPUTED_VALUE"""),16.6118222608661)</f>
        <v>16.61182226</v>
      </c>
      <c r="D162" t="str">
        <f>IFERROR(__xludf.DUMMYFUNCTION("""COMPUTED_VALUE"""),"Bed &amp; Breakfast")</f>
        <v>Bed &amp; Breakfast</v>
      </c>
      <c r="E162" t="str">
        <f>IFERROR(__xludf.DUMMYFUNCTION("""COMPUTED_VALUE"""),"SOLOSUD")</f>
        <v>SOLOSUD</v>
      </c>
      <c r="F162" t="str">
        <f>IFERROR(__xludf.DUMMYFUNCTION("""COMPUTED_VALUE"""),"PAOLA DE DONNO")</f>
        <v>PAOLA DE DONNO</v>
      </c>
      <c r="G162" t="str">
        <f>IFERROR(__xludf.DUMMYFUNCTION("""COMPUTED_VALUE"""),"VIA SAN GIACOMO 16 17 18")</f>
        <v>VIA SAN GIACOMO 16 17 18</v>
      </c>
      <c r="H162" t="str">
        <f>IFERROR(__xludf.DUMMYFUNCTION("""COMPUTED_VALUE"""),"Matera")</f>
        <v>Matera</v>
      </c>
      <c r="I162">
        <f>IFERROR(__xludf.DUMMYFUNCTION("""COMPUTED_VALUE"""),159.0)</f>
        <v>159</v>
      </c>
      <c r="J162">
        <f>IFERROR(__xludf.DUMMYFUNCTION("""COMPUTED_VALUE"""),1598.0)</f>
        <v>1598</v>
      </c>
      <c r="K162" t="str">
        <f>IFERROR(__xludf.DUMMYFUNCTION("""COMPUTED_VALUE"""),"Italy")</f>
        <v>Italy</v>
      </c>
      <c r="L162">
        <f>IFERROR(__xludf.DUMMYFUNCTION("""COMPUTED_VALUE"""),3.0)</f>
        <v>3</v>
      </c>
      <c r="M162">
        <f>IFERROR(__xludf.DUMMYFUNCTION("""COMPUTED_VALUE"""),7.0)</f>
        <v>7</v>
      </c>
      <c r="N162">
        <f>IFERROR(__xludf.DUMMYFUNCTION("""COMPUTED_VALUE"""),42431.0)</f>
        <v>42431</v>
      </c>
    </row>
    <row r="163">
      <c r="A163">
        <f>IFERROR(__xludf.DUMMYFUNCTION("""COMPUTED_VALUE"""),783.0)</f>
        <v>783</v>
      </c>
      <c r="B163">
        <f>IFERROR(__xludf.DUMMYFUNCTION("""COMPUTED_VALUE"""),40.6625417021643)</f>
        <v>40.6625417</v>
      </c>
      <c r="C163">
        <f>IFERROR(__xludf.DUMMYFUNCTION("""COMPUTED_VALUE"""),16.6102996050324)</f>
        <v>16.61029961</v>
      </c>
      <c r="D163" t="str">
        <f>IFERROR(__xludf.DUMMYFUNCTION("""COMPUTED_VALUE"""),"Bed &amp; Breakfast")</f>
        <v>Bed &amp; Breakfast</v>
      </c>
      <c r="E163" t="str">
        <f>IFERROR(__xludf.DUMMYFUNCTION("""COMPUTED_VALUE"""),"DIMORA LANFRANCHI")</f>
        <v>DIMORA LANFRANCHI</v>
      </c>
      <c r="F163" t="str">
        <f>IFERROR(__xludf.DUMMYFUNCTION("""COMPUTED_VALUE"""),"MARCELLO CORONELLA")</f>
        <v>MARCELLO CORONELLA</v>
      </c>
      <c r="G163" t="str">
        <f>IFERROR(__xludf.DUMMYFUNCTION("""COMPUTED_VALUE"""),"VIA CASALNUOVO 8")</f>
        <v>VIA CASALNUOVO 8</v>
      </c>
      <c r="H163" t="str">
        <f>IFERROR(__xludf.DUMMYFUNCTION("""COMPUTED_VALUE"""),"Matera ")</f>
        <v>Matera </v>
      </c>
      <c r="I163">
        <f>IFERROR(__xludf.DUMMYFUNCTION("""COMPUTED_VALUE"""),159.0)</f>
        <v>159</v>
      </c>
      <c r="J163">
        <f>IFERROR(__xludf.DUMMYFUNCTION("""COMPUTED_VALUE"""),3249.0)</f>
        <v>3249</v>
      </c>
      <c r="K163" t="str">
        <f>IFERROR(__xludf.DUMMYFUNCTION("""COMPUTED_VALUE"""),"Italy")</f>
        <v>Italy</v>
      </c>
      <c r="L163">
        <f>IFERROR(__xludf.DUMMYFUNCTION("""COMPUTED_VALUE"""),8.0)</f>
        <v>8</v>
      </c>
      <c r="M163">
        <f>IFERROR(__xludf.DUMMYFUNCTION("""COMPUTED_VALUE"""),2.0)</f>
        <v>2</v>
      </c>
      <c r="N163">
        <f>IFERROR(__xludf.DUMMYFUNCTION("""COMPUTED_VALUE"""),42431.0)</f>
        <v>42431</v>
      </c>
    </row>
    <row r="164">
      <c r="A164">
        <f>IFERROR(__xludf.DUMMYFUNCTION("""COMPUTED_VALUE"""),784.0)</f>
        <v>784</v>
      </c>
      <c r="B164">
        <f>IFERROR(__xludf.DUMMYFUNCTION("""COMPUTED_VALUE"""),40.6499486611417)</f>
        <v>40.64994866</v>
      </c>
      <c r="C164">
        <f>IFERROR(__xludf.DUMMYFUNCTION("""COMPUTED_VALUE"""),16.6209877298605)</f>
        <v>16.62098773</v>
      </c>
      <c r="D164" t="str">
        <f>IFERROR(__xludf.DUMMYFUNCTION("""COMPUTED_VALUE"""),"Bed &amp; Breakfast")</f>
        <v>Bed &amp; Breakfast</v>
      </c>
      <c r="E164" t="str">
        <f>IFERROR(__xludf.DUMMYFUNCTION("""COMPUTED_VALUE"""),"SANT'AGNESE")</f>
        <v>SANT'AGNESE</v>
      </c>
      <c r="F164" t="str">
        <f>IFERROR(__xludf.DUMMYFUNCTION("""COMPUTED_VALUE"""),"SANTARSIA CHIARA")</f>
        <v>SANTARSIA CHIARA</v>
      </c>
      <c r="G164" t="str">
        <f>IFERROR(__xludf.DUMMYFUNCTION("""COMPUTED_VALUE"""),"VIA FRANCESCO NATALE FARINA1")</f>
        <v>VIA FRANCESCO NATALE FARINA1</v>
      </c>
      <c r="H164" t="str">
        <f>IFERROR(__xludf.DUMMYFUNCTION("""COMPUTED_VALUE"""),"Matera")</f>
        <v>Matera</v>
      </c>
      <c r="I164">
        <f>IFERROR(__xludf.DUMMYFUNCTION("""COMPUTED_VALUE"""),106.0)</f>
        <v>106</v>
      </c>
      <c r="J164">
        <f>IFERROR(__xludf.DUMMYFUNCTION("""COMPUTED_VALUE"""),1015.0)</f>
        <v>1015</v>
      </c>
      <c r="K164" t="str">
        <f>IFERROR(__xludf.DUMMYFUNCTION("""COMPUTED_VALUE"""),"Italy")</f>
        <v>Italy</v>
      </c>
      <c r="L164">
        <f>IFERROR(__xludf.DUMMYFUNCTION("""COMPUTED_VALUE"""),2.0)</f>
        <v>2</v>
      </c>
      <c r="M164">
        <f>IFERROR(__xludf.DUMMYFUNCTION("""COMPUTED_VALUE"""),2.0)</f>
        <v>2</v>
      </c>
      <c r="N164">
        <f>IFERROR(__xludf.DUMMYFUNCTION("""COMPUTED_VALUE"""),42481.0)</f>
        <v>42481</v>
      </c>
    </row>
    <row r="165">
      <c r="A165">
        <f>IFERROR(__xludf.DUMMYFUNCTION("""COMPUTED_VALUE"""),785.0)</f>
        <v>785</v>
      </c>
      <c r="B165">
        <f>IFERROR(__xludf.DUMMYFUNCTION("""COMPUTED_VALUE"""),40.645930073563)</f>
        <v>40.64593007</v>
      </c>
      <c r="C165">
        <f>IFERROR(__xludf.DUMMYFUNCTION("""COMPUTED_VALUE"""),16.6216000918967)</f>
        <v>16.62160009</v>
      </c>
      <c r="D165" t="str">
        <f>IFERROR(__xludf.DUMMYFUNCTION("""COMPUTED_VALUE"""),"Bed &amp; Breakfast")</f>
        <v>Bed &amp; Breakfast</v>
      </c>
      <c r="E165" t="str">
        <f>IFERROR(__xludf.DUMMYFUNCTION("""COMPUTED_VALUE"""),"CASA AZUL")</f>
        <v>CASA AZUL</v>
      </c>
      <c r="F165" t="str">
        <f>IFERROR(__xludf.DUMMYFUNCTION("""COMPUTED_VALUE"""),"CLAUDIA PENTASUGLIA")</f>
        <v>CLAUDIA PENTASUGLIA</v>
      </c>
      <c r="G165" t="str">
        <f>IFERROR(__xludf.DUMMYFUNCTION("""COMPUTED_VALUE"""),"VIA MONS. CAVALLA 10")</f>
        <v>VIA MONS. CAVALLA 10</v>
      </c>
      <c r="H165" t="str">
        <f>IFERROR(__xludf.DUMMYFUNCTION("""COMPUTED_VALUE"""),"Matera")</f>
        <v>Matera</v>
      </c>
      <c r="I165">
        <f>IFERROR(__xludf.DUMMYFUNCTION("""COMPUTED_VALUE"""),106.0)</f>
        <v>106</v>
      </c>
      <c r="J165">
        <f>IFERROR(__xludf.DUMMYFUNCTION("""COMPUTED_VALUE"""),373.0)</f>
        <v>373</v>
      </c>
      <c r="K165" t="str">
        <f>IFERROR(__xludf.DUMMYFUNCTION("""COMPUTED_VALUE"""),"Italy")</f>
        <v>Italy</v>
      </c>
      <c r="L165">
        <f>IFERROR(__xludf.DUMMYFUNCTION("""COMPUTED_VALUE"""),13.0)</f>
        <v>13</v>
      </c>
      <c r="M165">
        <f>IFERROR(__xludf.DUMMYFUNCTION("""COMPUTED_VALUE"""),4.0)</f>
        <v>4</v>
      </c>
      <c r="N165">
        <f>IFERROR(__xludf.DUMMYFUNCTION("""COMPUTED_VALUE"""),42529.0)</f>
        <v>42529</v>
      </c>
    </row>
    <row r="166">
      <c r="A166">
        <f>IFERROR(__xludf.DUMMYFUNCTION("""COMPUTED_VALUE"""),786.0)</f>
        <v>786</v>
      </c>
      <c r="B166">
        <f>IFERROR(__xludf.DUMMYFUNCTION("""COMPUTED_VALUE"""),40.6864277033165)</f>
        <v>40.6864277</v>
      </c>
      <c r="C166">
        <f>IFERROR(__xludf.DUMMYFUNCTION("""COMPUTED_VALUE"""),16.5777844297294)</f>
        <v>16.57778443</v>
      </c>
      <c r="D166" t="str">
        <f>IFERROR(__xludf.DUMMYFUNCTION("""COMPUTED_VALUE"""),"Bed &amp; Breakfast")</f>
        <v>Bed &amp; Breakfast</v>
      </c>
      <c r="E166" t="str">
        <f>IFERROR(__xludf.DUMMYFUNCTION("""COMPUTED_VALUE"""),"GIADA")</f>
        <v>GIADA</v>
      </c>
      <c r="F166" t="str">
        <f>IFERROR(__xludf.DUMMYFUNCTION("""COMPUTED_VALUE"""),"BELLAROSA ROSA")</f>
        <v>BELLAROSA ROSA</v>
      </c>
      <c r="G166" t="str">
        <f>IFERROR(__xludf.DUMMYFUNCTION("""COMPUTED_VALUE"""),"VIA NINO ROTA 298")</f>
        <v>VIA NINO ROTA 298</v>
      </c>
      <c r="H166" t="str">
        <f>IFERROR(__xludf.DUMMYFUNCTION("""COMPUTED_VALUE"""),"Matera")</f>
        <v>Matera</v>
      </c>
      <c r="I166">
        <f>IFERROR(__xludf.DUMMYFUNCTION("""COMPUTED_VALUE"""),51.0)</f>
        <v>51</v>
      </c>
      <c r="J166">
        <f>IFERROR(__xludf.DUMMYFUNCTION("""COMPUTED_VALUE"""),2863.0)</f>
        <v>2863</v>
      </c>
      <c r="K166" t="str">
        <f>IFERROR(__xludf.DUMMYFUNCTION("""COMPUTED_VALUE"""),"Italy")</f>
        <v>Italy</v>
      </c>
      <c r="L166">
        <f>IFERROR(__xludf.DUMMYFUNCTION("""COMPUTED_VALUE"""),19.0)</f>
        <v>19</v>
      </c>
      <c r="M166">
        <f>IFERROR(__xludf.DUMMYFUNCTION("""COMPUTED_VALUE"""),2.0)</f>
        <v>2</v>
      </c>
      <c r="N166">
        <f>IFERROR(__xludf.DUMMYFUNCTION("""COMPUTED_VALUE"""),42431.0)</f>
        <v>42431</v>
      </c>
    </row>
    <row r="167">
      <c r="A167">
        <f>IFERROR(__xludf.DUMMYFUNCTION("""COMPUTED_VALUE"""),788.0)</f>
        <v>788</v>
      </c>
      <c r="B167">
        <f>IFERROR(__xludf.DUMMYFUNCTION("""COMPUTED_VALUE"""),40.6845307034103)</f>
        <v>40.6845307</v>
      </c>
      <c r="C167">
        <f>IFERROR(__xludf.DUMMYFUNCTION("""COMPUTED_VALUE"""),16.5865174514768)</f>
        <v>16.58651745</v>
      </c>
      <c r="D167" t="str">
        <f>IFERROR(__xludf.DUMMYFUNCTION("""COMPUTED_VALUE"""),"Bed &amp; Breakfast")</f>
        <v>Bed &amp; Breakfast</v>
      </c>
      <c r="E167" t="str">
        <f>IFERROR(__xludf.DUMMYFUNCTION("""COMPUTED_VALUE"""),"A CASA DI BRUNA")</f>
        <v>A CASA DI BRUNA</v>
      </c>
      <c r="F167" t="str">
        <f>IFERROR(__xludf.DUMMYFUNCTION("""COMPUTED_VALUE"""),"STIFANO BRUNA")</f>
        <v>STIFANO BRUNA</v>
      </c>
      <c r="G167" t="str">
        <f>IFERROR(__xludf.DUMMYFUNCTION("""COMPUTED_VALUE"""),"VIA DEI BRUZZI 66")</f>
        <v>VIA DEI BRUZZI 66</v>
      </c>
      <c r="H167" t="str">
        <f>IFERROR(__xludf.DUMMYFUNCTION("""COMPUTED_VALUE"""),"Matera")</f>
        <v>Matera</v>
      </c>
      <c r="I167">
        <f>IFERROR(__xludf.DUMMYFUNCTION("""COMPUTED_VALUE"""),51.0)</f>
        <v>51</v>
      </c>
      <c r="J167">
        <f>IFERROR(__xludf.DUMMYFUNCTION("""COMPUTED_VALUE"""),601.0)</f>
        <v>601</v>
      </c>
      <c r="K167" t="str">
        <f>IFERROR(__xludf.DUMMYFUNCTION("""COMPUTED_VALUE"""),"Italy")</f>
        <v>Italy</v>
      </c>
      <c r="L167">
        <f>IFERROR(__xludf.DUMMYFUNCTION("""COMPUTED_VALUE"""),3.0)</f>
        <v>3</v>
      </c>
      <c r="M167">
        <f>IFERROR(__xludf.DUMMYFUNCTION("""COMPUTED_VALUE"""),3.0)</f>
        <v>3</v>
      </c>
      <c r="N167">
        <f>IFERROR(__xludf.DUMMYFUNCTION("""COMPUTED_VALUE"""),42178.0)</f>
        <v>42178</v>
      </c>
    </row>
    <row r="168">
      <c r="A168">
        <f>IFERROR(__xludf.DUMMYFUNCTION("""COMPUTED_VALUE"""),789.0)</f>
        <v>789</v>
      </c>
      <c r="B168">
        <f>IFERROR(__xludf.DUMMYFUNCTION("""COMPUTED_VALUE"""),40.6650267384271)</f>
        <v>40.66502674</v>
      </c>
      <c r="C168">
        <f>IFERROR(__xludf.DUMMYFUNCTION("""COMPUTED_VALUE"""),16.6046901112733)</f>
        <v>16.60469011</v>
      </c>
      <c r="D168" t="str">
        <f>IFERROR(__xludf.DUMMYFUNCTION("""COMPUTED_VALUE"""),"Bed &amp; Breakfast")</f>
        <v>Bed &amp; Breakfast</v>
      </c>
      <c r="E168" t="str">
        <f>IFERROR(__xludf.DUMMYFUNCTION("""COMPUTED_VALUE"""),"B &amp; B IL TRAMONTANO")</f>
        <v>B &amp; B IL TRAMONTANO</v>
      </c>
      <c r="F168" t="str">
        <f>IFERROR(__xludf.DUMMYFUNCTION("""COMPUTED_VALUE"""),"PERRONE LEONARDO")</f>
        <v>PERRONE LEONARDO</v>
      </c>
      <c r="G168" t="str">
        <f>IFERROR(__xludf.DUMMYFUNCTION("""COMPUTED_VALUE"""),"VICO GRAMSCI 2")</f>
        <v>VICO GRAMSCI 2</v>
      </c>
      <c r="H168" t="str">
        <f>IFERROR(__xludf.DUMMYFUNCTION("""COMPUTED_VALUE"""),"Matera")</f>
        <v>Matera</v>
      </c>
      <c r="I168">
        <f>IFERROR(__xludf.DUMMYFUNCTION("""COMPUTED_VALUE"""),71.0)</f>
        <v>71</v>
      </c>
      <c r="J168">
        <f>IFERROR(__xludf.DUMMYFUNCTION("""COMPUTED_VALUE"""),266.0)</f>
        <v>266</v>
      </c>
      <c r="K168" t="str">
        <f>IFERROR(__xludf.DUMMYFUNCTION("""COMPUTED_VALUE"""),"Italy")</f>
        <v>Italy</v>
      </c>
      <c r="L168">
        <f>IFERROR(__xludf.DUMMYFUNCTION("""COMPUTED_VALUE"""),43.0)</f>
        <v>43</v>
      </c>
      <c r="M168">
        <f>IFERROR(__xludf.DUMMYFUNCTION("""COMPUTED_VALUE"""),2.0)</f>
        <v>2</v>
      </c>
      <c r="N168">
        <f>IFERROR(__xludf.DUMMYFUNCTION("""COMPUTED_VALUE"""),42362.0)</f>
        <v>42362</v>
      </c>
    </row>
    <row r="169">
      <c r="A169">
        <f>IFERROR(__xludf.DUMMYFUNCTION("""COMPUTED_VALUE"""),790.0)</f>
        <v>790</v>
      </c>
      <c r="B169">
        <f>IFERROR(__xludf.DUMMYFUNCTION("""COMPUTED_VALUE"""),40.6676061766822)</f>
        <v>40.66760618</v>
      </c>
      <c r="C169">
        <f>IFERROR(__xludf.DUMMYFUNCTION("""COMPUTED_VALUE"""),16.609430895629)</f>
        <v>16.6094309</v>
      </c>
      <c r="D169" t="str">
        <f>IFERROR(__xludf.DUMMYFUNCTION("""COMPUTED_VALUE"""),"Bed &amp; Breakfast")</f>
        <v>Bed &amp; Breakfast</v>
      </c>
      <c r="E169" t="str">
        <f>IFERROR(__xludf.DUMMYFUNCTION("""COMPUTED_VALUE"""),"TERRA  MATER")</f>
        <v>TERRA  MATER</v>
      </c>
      <c r="F169" t="str">
        <f>IFERROR(__xludf.DUMMYFUNCTION("""COMPUTED_VALUE"""),"FABRIZIO VINCENZO")</f>
        <v>FABRIZIO VINCENZO</v>
      </c>
      <c r="G169" t="str">
        <f>IFERROR(__xludf.DUMMYFUNCTION("""COMPUTED_VALUE"""),"VIA SAN ROCCO 50")</f>
        <v>VIA SAN ROCCO 50</v>
      </c>
      <c r="H169" t="str">
        <f>IFERROR(__xludf.DUMMYFUNCTION("""COMPUTED_VALUE"""),"Matera")</f>
        <v>Matera</v>
      </c>
      <c r="I169">
        <f>IFERROR(__xludf.DUMMYFUNCTION("""COMPUTED_VALUE"""),159.0)</f>
        <v>159</v>
      </c>
      <c r="J169">
        <f>IFERROR(__xludf.DUMMYFUNCTION("""COMPUTED_VALUE"""),340.0)</f>
        <v>340</v>
      </c>
      <c r="K169" t="str">
        <f>IFERROR(__xludf.DUMMYFUNCTION("""COMPUTED_VALUE"""),"Italy")</f>
        <v>Italy</v>
      </c>
      <c r="L169">
        <f>IFERROR(__xludf.DUMMYFUNCTION("""COMPUTED_VALUE"""),13.0)</f>
        <v>13</v>
      </c>
      <c r="M169">
        <f>IFERROR(__xludf.DUMMYFUNCTION("""COMPUTED_VALUE"""),3.0)</f>
        <v>3</v>
      </c>
      <c r="N169">
        <f>IFERROR(__xludf.DUMMYFUNCTION("""COMPUTED_VALUE"""),42608.0)</f>
        <v>42608</v>
      </c>
    </row>
    <row r="170">
      <c r="A170">
        <f>IFERROR(__xludf.DUMMYFUNCTION("""COMPUTED_VALUE"""),791.0)</f>
        <v>791</v>
      </c>
      <c r="B170">
        <f>IFERROR(__xludf.DUMMYFUNCTION("""COMPUTED_VALUE"""),40.6680602787149)</f>
        <v>40.66806028</v>
      </c>
      <c r="C170">
        <f>IFERROR(__xludf.DUMMYFUNCTION("""COMPUTED_VALUE"""),16.6080312218772)</f>
        <v>16.60803122</v>
      </c>
      <c r="D170" t="str">
        <f>IFERROR(__xludf.DUMMYFUNCTION("""COMPUTED_VALUE"""),"Bed &amp; Breakfast")</f>
        <v>Bed &amp; Breakfast</v>
      </c>
      <c r="E170" t="str">
        <f>IFERROR(__xludf.DUMMYFUNCTION("""COMPUTED_VALUE"""),"TERRA LUCANA B&amp;B")</f>
        <v>TERRA LUCANA B&amp;B</v>
      </c>
      <c r="F170" t="str">
        <f>IFERROR(__xludf.DUMMYFUNCTION("""COMPUTED_VALUE"""),"DIMASTRODONATO GIANLUCA")</f>
        <v>DIMASTRODONATO GIANLUCA</v>
      </c>
      <c r="G170" t="str">
        <f>IFERROR(__xludf.DUMMYFUNCTION("""COMPUTED_VALUE"""),"vico xx settembre 58")</f>
        <v>vico xx settembre 58</v>
      </c>
      <c r="H170" t="str">
        <f>IFERROR(__xludf.DUMMYFUNCTION("""COMPUTED_VALUE"""),"Matera")</f>
        <v>Matera</v>
      </c>
      <c r="I170">
        <f>IFERROR(__xludf.DUMMYFUNCTION("""COMPUTED_VALUE"""),159.0)</f>
        <v>159</v>
      </c>
      <c r="J170">
        <f>IFERROR(__xludf.DUMMYFUNCTION("""COMPUTED_VALUE"""),4895.0)</f>
        <v>4895</v>
      </c>
      <c r="K170" t="str">
        <f>IFERROR(__xludf.DUMMYFUNCTION("""COMPUTED_VALUE"""),"Italy")</f>
        <v>Italy</v>
      </c>
      <c r="L170">
        <f>IFERROR(__xludf.DUMMYFUNCTION("""COMPUTED_VALUE"""),2.0)</f>
        <v>2</v>
      </c>
      <c r="M170">
        <f>IFERROR(__xludf.DUMMYFUNCTION("""COMPUTED_VALUE"""),6.0)</f>
        <v>6</v>
      </c>
      <c r="N170">
        <f>IFERROR(__xludf.DUMMYFUNCTION("""COMPUTED_VALUE"""),42838.0)</f>
        <v>42838</v>
      </c>
    </row>
    <row r="171">
      <c r="A171">
        <f>IFERROR(__xludf.DUMMYFUNCTION("""COMPUTED_VALUE"""),793.0)</f>
        <v>793</v>
      </c>
      <c r="B171">
        <f>IFERROR(__xludf.DUMMYFUNCTION("""COMPUTED_VALUE"""),40.6642202179091)</f>
        <v>40.66422022</v>
      </c>
      <c r="C171">
        <f>IFERROR(__xludf.DUMMYFUNCTION("""COMPUTED_VALUE"""),16.6123332815171)</f>
        <v>16.61233328</v>
      </c>
      <c r="D171" t="str">
        <f>IFERROR(__xludf.DUMMYFUNCTION("""COMPUTED_VALUE"""),"Bed &amp; Breakfast")</f>
        <v>Bed &amp; Breakfast</v>
      </c>
      <c r="E171" t="str">
        <f>IFERROR(__xludf.DUMMYFUNCTION("""COMPUTED_VALUE"""),"LA CORTE DEI PASTORI")</f>
        <v>LA CORTE DEI PASTORI</v>
      </c>
      <c r="F171" t="str">
        <f>IFERROR(__xludf.DUMMYFUNCTION("""COMPUTED_VALUE"""),"GIORDANO DOMENICO")</f>
        <v>GIORDANO DOMENICO</v>
      </c>
      <c r="G171" t="str">
        <f>IFERROR(__xludf.DUMMYFUNCTION("""COMPUTED_VALUE"""),"VIA BRUNO BUOZZI 4")</f>
        <v>VIA BRUNO BUOZZI 4</v>
      </c>
      <c r="H171" t="str">
        <f>IFERROR(__xludf.DUMMYFUNCTION("""COMPUTED_VALUE"""),"Matera")</f>
        <v>Matera</v>
      </c>
      <c r="I171">
        <f>IFERROR(__xludf.DUMMYFUNCTION("""COMPUTED_VALUE"""),159.0)</f>
        <v>159</v>
      </c>
      <c r="J171">
        <f>IFERROR(__xludf.DUMMYFUNCTION("""COMPUTED_VALUE"""),2146.0)</f>
        <v>2146</v>
      </c>
      <c r="K171" t="str">
        <f>IFERROR(__xludf.DUMMYFUNCTION("""COMPUTED_VALUE"""),"Italy")</f>
        <v>Italy</v>
      </c>
      <c r="L171">
        <f>IFERROR(__xludf.DUMMYFUNCTION("""COMPUTED_VALUE"""),3.0)</f>
        <v>3</v>
      </c>
      <c r="M171">
        <f>IFERROR(__xludf.DUMMYFUNCTION("""COMPUTED_VALUE"""),8.0)</f>
        <v>8</v>
      </c>
      <c r="N171">
        <f>IFERROR(__xludf.DUMMYFUNCTION("""COMPUTED_VALUE"""),40886.0)</f>
        <v>40886</v>
      </c>
    </row>
    <row r="172">
      <c r="A172">
        <f>IFERROR(__xludf.DUMMYFUNCTION("""COMPUTED_VALUE"""),798.0)</f>
        <v>798</v>
      </c>
      <c r="B172">
        <f>IFERROR(__xludf.DUMMYFUNCTION("""COMPUTED_VALUE"""),40.6644194391393)</f>
        <v>40.66441944</v>
      </c>
      <c r="C172">
        <f>IFERROR(__xludf.DUMMYFUNCTION("""COMPUTED_VALUE"""),16.6120209365735)</f>
        <v>16.61202094</v>
      </c>
      <c r="D172" t="str">
        <f>IFERROR(__xludf.DUMMYFUNCTION("""COMPUTED_VALUE"""),"Bed &amp; Breakfast")</f>
        <v>Bed &amp; Breakfast</v>
      </c>
      <c r="E172" t="str">
        <f>IFERROR(__xludf.DUMMYFUNCTION("""COMPUTED_VALUE"""),"TERRAZZA CASA MIA")</f>
        <v>TERRAZZA CASA MIA</v>
      </c>
      <c r="F172" t="str">
        <f>IFERROR(__xludf.DUMMYFUNCTION("""COMPUTED_VALUE"""),"ROSSELLA TOSTO")</f>
        <v>ROSSELLA TOSTO</v>
      </c>
      <c r="G172" t="str">
        <f>IFERROR(__xludf.DUMMYFUNCTION("""COMPUTED_VALUE"""),"P.TTA S. P. CAVEOSO 10")</f>
        <v>P.TTA S. P. CAVEOSO 10</v>
      </c>
      <c r="H172" t="str">
        <f>IFERROR(__xludf.DUMMYFUNCTION("""COMPUTED_VALUE"""),"Matera")</f>
        <v>Matera</v>
      </c>
      <c r="I172">
        <f>IFERROR(__xludf.DUMMYFUNCTION("""COMPUTED_VALUE"""),159.0)</f>
        <v>159</v>
      </c>
      <c r="J172">
        <f>IFERROR(__xludf.DUMMYFUNCTION("""COMPUTED_VALUE"""),2139.0)</f>
        <v>2139</v>
      </c>
      <c r="K172" t="str">
        <f>IFERROR(__xludf.DUMMYFUNCTION("""COMPUTED_VALUE"""),"Italy")</f>
        <v>Italy</v>
      </c>
      <c r="L172">
        <f>IFERROR(__xludf.DUMMYFUNCTION("""COMPUTED_VALUE"""),7.0)</f>
        <v>7</v>
      </c>
      <c r="M172">
        <f>IFERROR(__xludf.DUMMYFUNCTION("""COMPUTED_VALUE"""),2.0)</f>
        <v>2</v>
      </c>
      <c r="N172">
        <f>IFERROR(__xludf.DUMMYFUNCTION("""COMPUTED_VALUE"""),43075.0)</f>
        <v>43075</v>
      </c>
    </row>
    <row r="173">
      <c r="A173">
        <f>IFERROR(__xludf.DUMMYFUNCTION("""COMPUTED_VALUE"""),800.0)</f>
        <v>800</v>
      </c>
      <c r="B173">
        <f>IFERROR(__xludf.DUMMYFUNCTION("""COMPUTED_VALUE"""),40.6601314501928)</f>
        <v>40.66013145</v>
      </c>
      <c r="C173">
        <f>IFERROR(__xludf.DUMMYFUNCTION("""COMPUTED_VALUE"""),16.6030351017358)</f>
        <v>16.6030351</v>
      </c>
      <c r="D173" t="str">
        <f>IFERROR(__xludf.DUMMYFUNCTION("""COMPUTED_VALUE"""),"Bed &amp; Breakfast")</f>
        <v>Bed &amp; Breakfast</v>
      </c>
      <c r="E173" t="str">
        <f>IFERROR(__xludf.DUMMYFUNCTION("""COMPUTED_VALUE"""),"L'ABBABBIO")</f>
        <v>L'ABBABBIO</v>
      </c>
      <c r="F173" t="str">
        <f>IFERROR(__xludf.DUMMYFUNCTION("""COMPUTED_VALUE"""),"SERGIO FADINI")</f>
        <v>SERGIO FADINI</v>
      </c>
      <c r="G173" t="str">
        <f>IFERROR(__xludf.DUMMYFUNCTION("""COMPUTED_VALUE"""),"VIA DELLA QUERCIA 6")</f>
        <v>VIA DELLA QUERCIA 6</v>
      </c>
      <c r="H173" t="str">
        <f>IFERROR(__xludf.DUMMYFUNCTION("""COMPUTED_VALUE"""),"Matera")</f>
        <v>Matera</v>
      </c>
      <c r="I173">
        <f>IFERROR(__xludf.DUMMYFUNCTION("""COMPUTED_VALUE"""),101.0)</f>
        <v>101</v>
      </c>
      <c r="J173">
        <f>IFERROR(__xludf.DUMMYFUNCTION("""COMPUTED_VALUE"""),303.0)</f>
        <v>303</v>
      </c>
      <c r="K173" t="str">
        <f>IFERROR(__xludf.DUMMYFUNCTION("""COMPUTED_VALUE"""),"Italy")</f>
        <v>Italy</v>
      </c>
      <c r="L173">
        <f>IFERROR(__xludf.DUMMYFUNCTION("""COMPUTED_VALUE"""),6.0)</f>
        <v>6</v>
      </c>
      <c r="M173">
        <f>IFERROR(__xludf.DUMMYFUNCTION("""COMPUTED_VALUE"""),2.0)</f>
        <v>2</v>
      </c>
      <c r="N173">
        <f>IFERROR(__xludf.DUMMYFUNCTION("""COMPUTED_VALUE"""),43181.0)</f>
        <v>43181</v>
      </c>
    </row>
    <row r="174">
      <c r="A174">
        <f>IFERROR(__xludf.DUMMYFUNCTION("""COMPUTED_VALUE"""),801.0)</f>
        <v>801</v>
      </c>
      <c r="B174">
        <f>IFERROR(__xludf.DUMMYFUNCTION("""COMPUTED_VALUE"""),40.6703120693802)</f>
        <v>40.67031207</v>
      </c>
      <c r="C174">
        <f>IFERROR(__xludf.DUMMYFUNCTION("""COMPUTED_VALUE"""),16.6080397400379)</f>
        <v>16.60803974</v>
      </c>
      <c r="D174" t="str">
        <f>IFERROR(__xludf.DUMMYFUNCTION("""COMPUTED_VALUE"""),"Bed &amp; Breakfast")</f>
        <v>Bed &amp; Breakfast</v>
      </c>
      <c r="E174" t="str">
        <f>IFERROR(__xludf.DUMMYFUNCTION("""COMPUTED_VALUE"""),"LA STANZA SUI SASSI")</f>
        <v>LA STANZA SUI SASSI</v>
      </c>
      <c r="F174" t="str">
        <f>IFERROR(__xludf.DUMMYFUNCTION("""COMPUTED_VALUE"""),"ARIANNA MONTEMURRO")</f>
        <v>ARIANNA MONTEMURRO</v>
      </c>
      <c r="G174" t="str">
        <f>IFERROR(__xludf.DUMMYFUNCTION("""COMPUTED_VALUE"""),"VIA G. PENTASUGLIA 11")</f>
        <v>VIA G. PENTASUGLIA 11</v>
      </c>
      <c r="H174" t="str">
        <f>IFERROR(__xludf.DUMMYFUNCTION("""COMPUTED_VALUE"""),"Matera")</f>
        <v>Matera</v>
      </c>
      <c r="I174">
        <f>IFERROR(__xludf.DUMMYFUNCTION("""COMPUTED_VALUE"""),159.0)</f>
        <v>159</v>
      </c>
      <c r="J174">
        <f>IFERROR(__xludf.DUMMYFUNCTION("""COMPUTED_VALUE"""),3604.0)</f>
        <v>3604</v>
      </c>
      <c r="K174" t="str">
        <f>IFERROR(__xludf.DUMMYFUNCTION("""COMPUTED_VALUE"""),"Italy")</f>
        <v>Italy</v>
      </c>
      <c r="L174">
        <f>IFERROR(__xludf.DUMMYFUNCTION("""COMPUTED_VALUE"""),17.0)</f>
        <v>17</v>
      </c>
      <c r="M174">
        <f>IFERROR(__xludf.DUMMYFUNCTION("""COMPUTED_VALUE"""),2.0)</f>
        <v>2</v>
      </c>
      <c r="N174">
        <f>IFERROR(__xludf.DUMMYFUNCTION("""COMPUTED_VALUE"""),43180.0)</f>
        <v>43180</v>
      </c>
    </row>
    <row r="175">
      <c r="A175">
        <f>IFERROR(__xludf.DUMMYFUNCTION("""COMPUTED_VALUE"""),802.0)</f>
        <v>802</v>
      </c>
      <c r="B175">
        <f>IFERROR(__xludf.DUMMYFUNCTION("""COMPUTED_VALUE"""),40.6475615998144)</f>
        <v>40.6475616</v>
      </c>
      <c r="C175">
        <f>IFERROR(__xludf.DUMMYFUNCTION("""COMPUTED_VALUE"""),16.618616130608)</f>
        <v>16.61861613</v>
      </c>
      <c r="D175" t="str">
        <f>IFERROR(__xludf.DUMMYFUNCTION("""COMPUTED_VALUE"""),"Bed &amp; Breakfast")</f>
        <v>Bed &amp; Breakfast</v>
      </c>
      <c r="E175" t="str">
        <f>IFERROR(__xludf.DUMMYFUNCTION("""COMPUTED_VALUE"""),"B&amp;B GREEN DI MARIA")</f>
        <v>B&amp;B GREEN DI MARIA</v>
      </c>
      <c r="F175" t="str">
        <f>IFERROR(__xludf.DUMMYFUNCTION("""COMPUTED_VALUE"""),"MARIA CLEMENTE")</f>
        <v>MARIA CLEMENTE</v>
      </c>
      <c r="G175" t="str">
        <f>IFERROR(__xludf.DUMMYFUNCTION("""COMPUTED_VALUE"""),"VIA RAUL PAPINI 3")</f>
        <v>VIA RAUL PAPINI 3</v>
      </c>
      <c r="H175" t="str">
        <f>IFERROR(__xludf.DUMMYFUNCTION("""COMPUTED_VALUE"""),"Matera")</f>
        <v>Matera</v>
      </c>
      <c r="I175">
        <f>IFERROR(__xludf.DUMMYFUNCTION("""COMPUTED_VALUE"""),106.0)</f>
        <v>106</v>
      </c>
      <c r="J175">
        <f>IFERROR(__xludf.DUMMYFUNCTION("""COMPUTED_VALUE"""),199.0)</f>
        <v>199</v>
      </c>
      <c r="K175" t="str">
        <f>IFERROR(__xludf.DUMMYFUNCTION("""COMPUTED_VALUE"""),"Italy")</f>
        <v>Italy</v>
      </c>
      <c r="L175">
        <f>IFERROR(__xludf.DUMMYFUNCTION("""COMPUTED_VALUE"""),5.0)</f>
        <v>5</v>
      </c>
      <c r="M175">
        <f>IFERROR(__xludf.DUMMYFUNCTION("""COMPUTED_VALUE"""),5.0)</f>
        <v>5</v>
      </c>
      <c r="N175">
        <f>IFERROR(__xludf.DUMMYFUNCTION("""COMPUTED_VALUE"""),43187.0)</f>
        <v>43187</v>
      </c>
    </row>
    <row r="176">
      <c r="A176">
        <f>IFERROR(__xludf.DUMMYFUNCTION("""COMPUTED_VALUE"""),803.0)</f>
        <v>803</v>
      </c>
      <c r="B176">
        <f>IFERROR(__xludf.DUMMYFUNCTION("""COMPUTED_VALUE"""),40.6979057524102)</f>
        <v>40.69790575</v>
      </c>
      <c r="C176">
        <f>IFERROR(__xludf.DUMMYFUNCTION("""COMPUTED_VALUE"""),16.5821220260814)</f>
        <v>16.58212203</v>
      </c>
      <c r="D176" t="str">
        <f>IFERROR(__xludf.DUMMYFUNCTION("""COMPUTED_VALUE"""),"Bed &amp; Breakfast")</f>
        <v>Bed &amp; Breakfast</v>
      </c>
      <c r="E176" t="str">
        <f>IFERROR(__xludf.DUMMYFUNCTION("""COMPUTED_VALUE"""),"VILLA OASI")</f>
        <v>VILLA OASI</v>
      </c>
      <c r="F176" t="str">
        <f>IFERROR(__xludf.DUMMYFUNCTION("""COMPUTED_VALUE"""),"COLAVITO FEDERICA")</f>
        <v>COLAVITO FEDERICA</v>
      </c>
      <c r="G176" t="str">
        <f>IFERROR(__xludf.DUMMYFUNCTION("""COMPUTED_VALUE"""),"C.DA SERRA PADUCCI")</f>
        <v>C.DA SERRA PADUCCI</v>
      </c>
      <c r="H176" t="str">
        <f>IFERROR(__xludf.DUMMYFUNCTION("""COMPUTED_VALUE"""),"Matera")</f>
        <v>Matera</v>
      </c>
      <c r="I176">
        <f>IFERROR(__xludf.DUMMYFUNCTION("""COMPUTED_VALUE"""),30.0)</f>
        <v>30</v>
      </c>
      <c r="J176">
        <f>IFERROR(__xludf.DUMMYFUNCTION("""COMPUTED_VALUE"""),483.0)</f>
        <v>483</v>
      </c>
      <c r="K176" t="str">
        <f>IFERROR(__xludf.DUMMYFUNCTION("""COMPUTED_VALUE"""),"Italy")</f>
        <v>Italy</v>
      </c>
      <c r="L176">
        <f>IFERROR(__xludf.DUMMYFUNCTION("""COMPUTED_VALUE"""),2.0)</f>
        <v>2</v>
      </c>
      <c r="M176">
        <f>IFERROR(__xludf.DUMMYFUNCTION("""COMPUTED_VALUE"""),3.0)</f>
        <v>3</v>
      </c>
      <c r="N176">
        <f>IFERROR(__xludf.DUMMYFUNCTION("""COMPUTED_VALUE"""),43188.0)</f>
        <v>43188</v>
      </c>
    </row>
    <row r="177">
      <c r="A177">
        <f>IFERROR(__xludf.DUMMYFUNCTION("""COMPUTED_VALUE"""),804.0)</f>
        <v>804</v>
      </c>
      <c r="B177">
        <f>IFERROR(__xludf.DUMMYFUNCTION("""COMPUTED_VALUE"""),40.6702153922955)</f>
        <v>40.67021539</v>
      </c>
      <c r="C177">
        <f>IFERROR(__xludf.DUMMYFUNCTION("""COMPUTED_VALUE"""),16.5963651630555)</f>
        <v>16.59636516</v>
      </c>
      <c r="D177" t="str">
        <f>IFERROR(__xludf.DUMMYFUNCTION("""COMPUTED_VALUE"""),"Bed &amp; Breakfast")</f>
        <v>Bed &amp; Breakfast</v>
      </c>
      <c r="E177" t="str">
        <f>IFERROR(__xludf.DUMMYFUNCTION("""COMPUTED_VALUE"""),"LA TUA CASA A MATERA")</f>
        <v>LA TUA CASA A MATERA</v>
      </c>
      <c r="F177" t="str">
        <f>IFERROR(__xludf.DUMMYFUNCTION("""COMPUTED_VALUE"""),"ILVENTO PORZIA")</f>
        <v>ILVENTO PORZIA</v>
      </c>
      <c r="G177" t="str">
        <f>IFERROR(__xludf.DUMMYFUNCTION("""COMPUTED_VALUE"""),"VIA LAZAZZERA 20")</f>
        <v>VIA LAZAZZERA 20</v>
      </c>
      <c r="H177" t="str">
        <f>IFERROR(__xludf.DUMMYFUNCTION("""COMPUTED_VALUE"""),"Matera")</f>
        <v>Matera</v>
      </c>
      <c r="I177">
        <f>IFERROR(__xludf.DUMMYFUNCTION("""COMPUTED_VALUE"""),71.0)</f>
        <v>71</v>
      </c>
      <c r="J177">
        <f>IFERROR(__xludf.DUMMYFUNCTION("""COMPUTED_VALUE"""),1925.0)</f>
        <v>1925</v>
      </c>
      <c r="K177" t="str">
        <f>IFERROR(__xludf.DUMMYFUNCTION("""COMPUTED_VALUE"""),"Italy")</f>
        <v>Italy</v>
      </c>
      <c r="L177">
        <f>IFERROR(__xludf.DUMMYFUNCTION("""COMPUTED_VALUE"""),34.0)</f>
        <v>34</v>
      </c>
      <c r="M177">
        <f>IFERROR(__xludf.DUMMYFUNCTION("""COMPUTED_VALUE"""),3.0)</f>
        <v>3</v>
      </c>
      <c r="N177">
        <f>IFERROR(__xludf.DUMMYFUNCTION("""COMPUTED_VALUE"""),43207.0)</f>
        <v>43207</v>
      </c>
    </row>
    <row r="178">
      <c r="A178">
        <f>IFERROR(__xludf.DUMMYFUNCTION("""COMPUTED_VALUE"""),805.0)</f>
        <v>805</v>
      </c>
      <c r="B178">
        <f>IFERROR(__xludf.DUMMYFUNCTION("""COMPUTED_VALUE"""),40.6618787930044)</f>
        <v>40.66187879</v>
      </c>
      <c r="C178">
        <f>IFERROR(__xludf.DUMMYFUNCTION("""COMPUTED_VALUE"""),16.6090279111307)</f>
        <v>16.60902791</v>
      </c>
      <c r="D178" t="str">
        <f>IFERROR(__xludf.DUMMYFUNCTION("""COMPUTED_VALUE"""),"Bed &amp; Breakfast")</f>
        <v>Bed &amp; Breakfast</v>
      </c>
      <c r="E178" t="str">
        <f>IFERROR(__xludf.DUMMYFUNCTION("""COMPUTED_VALUE"""),"LA PECORA NERA")</f>
        <v>LA PECORA NERA</v>
      </c>
      <c r="F178" t="str">
        <f>IFERROR(__xludf.DUMMYFUNCTION("""COMPUTED_VALUE"""),"BURGI COSIMO")</f>
        <v>BURGI COSIMO</v>
      </c>
      <c r="G178" t="str">
        <f>IFERROR(__xludf.DUMMYFUNCTION("""COMPUTED_VALUE"""),"VIA CHIANCALATA 4-6")</f>
        <v>VIA CHIANCALATA 4-6</v>
      </c>
      <c r="H178" t="str">
        <f>IFERROR(__xludf.DUMMYFUNCTION("""COMPUTED_VALUE"""),"Matera")</f>
        <v>Matera</v>
      </c>
      <c r="I178">
        <f>IFERROR(__xludf.DUMMYFUNCTION("""COMPUTED_VALUE"""),103.0)</f>
        <v>103</v>
      </c>
      <c r="J178">
        <f>IFERROR(__xludf.DUMMYFUNCTION("""COMPUTED_VALUE"""),139.0)</f>
        <v>139</v>
      </c>
      <c r="K178" t="str">
        <f>IFERROR(__xludf.DUMMYFUNCTION("""COMPUTED_VALUE"""),"Italy")</f>
        <v>Italy</v>
      </c>
      <c r="L178">
        <f>IFERROR(__xludf.DUMMYFUNCTION("""COMPUTED_VALUE"""),11.0)</f>
        <v>11</v>
      </c>
      <c r="M178">
        <f>IFERROR(__xludf.DUMMYFUNCTION("""COMPUTED_VALUE"""),5.0)</f>
        <v>5</v>
      </c>
      <c r="N178">
        <f>IFERROR(__xludf.DUMMYFUNCTION("""COMPUTED_VALUE"""),43201.0)</f>
        <v>43201</v>
      </c>
    </row>
    <row r="179">
      <c r="A179">
        <f>IFERROR(__xludf.DUMMYFUNCTION("""COMPUTED_VALUE"""),806.0)</f>
        <v>806</v>
      </c>
      <c r="B179">
        <f>IFERROR(__xludf.DUMMYFUNCTION("""COMPUTED_VALUE"""),40.6625899108055)</f>
        <v>40.66258991</v>
      </c>
      <c r="C179">
        <f>IFERROR(__xludf.DUMMYFUNCTION("""COMPUTED_VALUE"""),16.6113582937891)</f>
        <v>16.61135829</v>
      </c>
      <c r="D179" t="str">
        <f>IFERROR(__xludf.DUMMYFUNCTION("""COMPUTED_VALUE"""),"Bed &amp; Breakfast")</f>
        <v>Bed &amp; Breakfast</v>
      </c>
      <c r="E179" t="str">
        <f>IFERROR(__xludf.DUMMYFUNCTION("""COMPUTED_VALUE"""),"IL PALAZZOTTO DEL CAVEOSO")</f>
        <v>IL PALAZZOTTO DEL CAVEOSO</v>
      </c>
      <c r="F179" t="str">
        <f>IFERROR(__xludf.DUMMYFUNCTION("""COMPUTED_VALUE"""),"SPAGNUOLO ANGELO RAFFAELE")</f>
        <v>SPAGNUOLO ANGELO RAFFAELE</v>
      </c>
      <c r="G179" t="str">
        <f>IFERROR(__xludf.DUMMYFUNCTION("""COMPUTED_VALUE"""),"VIA B. BUOZZI 39")</f>
        <v>VIA B. BUOZZI 39</v>
      </c>
      <c r="H179" t="str">
        <f>IFERROR(__xludf.DUMMYFUNCTION("""COMPUTED_VALUE"""),"Matera")</f>
        <v>Matera</v>
      </c>
      <c r="I179">
        <f>IFERROR(__xludf.DUMMYFUNCTION("""COMPUTED_VALUE"""),159.0)</f>
        <v>159</v>
      </c>
      <c r="J179">
        <f>IFERROR(__xludf.DUMMYFUNCTION("""COMPUTED_VALUE"""),1964.0)</f>
        <v>1964</v>
      </c>
      <c r="K179" t="str">
        <f>IFERROR(__xludf.DUMMYFUNCTION("""COMPUTED_VALUE"""),"Italy")</f>
        <v>Italy</v>
      </c>
      <c r="L179">
        <f>IFERROR(__xludf.DUMMYFUNCTION("""COMPUTED_VALUE"""),2.0)</f>
        <v>2</v>
      </c>
      <c r="M179">
        <f>IFERROR(__xludf.DUMMYFUNCTION("""COMPUTED_VALUE"""),2.0)</f>
        <v>2</v>
      </c>
      <c r="N179">
        <f>IFERROR(__xludf.DUMMYFUNCTION("""COMPUTED_VALUE"""),43224.0)</f>
        <v>43224</v>
      </c>
    </row>
    <row r="180">
      <c r="A180">
        <f>IFERROR(__xludf.DUMMYFUNCTION("""COMPUTED_VALUE"""),807.0)</f>
        <v>807</v>
      </c>
      <c r="B180">
        <f>IFERROR(__xludf.DUMMYFUNCTION("""COMPUTED_VALUE"""),40.6628803576439)</f>
        <v>40.66288036</v>
      </c>
      <c r="C180">
        <f>IFERROR(__xludf.DUMMYFUNCTION("""COMPUTED_VALUE"""),16.6110166753452)</f>
        <v>16.61101668</v>
      </c>
      <c r="D180" t="str">
        <f>IFERROR(__xludf.DUMMYFUNCTION("""COMPUTED_VALUE"""),"Bed &amp; Breakfast")</f>
        <v>Bed &amp; Breakfast</v>
      </c>
      <c r="E180" t="str">
        <f>IFERROR(__xludf.DUMMYFUNCTION("""COMPUTED_VALUE"""),"SLOW LIVING")</f>
        <v>SLOW LIVING</v>
      </c>
      <c r="F180" t="str">
        <f>IFERROR(__xludf.DUMMYFUNCTION("""COMPUTED_VALUE"""),"VEZZOLI DANIELE")</f>
        <v>VEZZOLI DANIELE</v>
      </c>
      <c r="G180" t="str">
        <f>IFERROR(__xludf.DUMMYFUNCTION("""COMPUTED_VALUE"""),"VIA SAN F. PAOLO VECCHIO 22-23")</f>
        <v>VIA SAN F. PAOLO VECCHIO 22-23</v>
      </c>
      <c r="H180" t="str">
        <f>IFERROR(__xludf.DUMMYFUNCTION("""COMPUTED_VALUE"""),"Matera")</f>
        <v>Matera</v>
      </c>
      <c r="I180">
        <f>IFERROR(__xludf.DUMMYFUNCTION("""COMPUTED_VALUE"""),159.0)</f>
        <v>159</v>
      </c>
      <c r="J180">
        <f>IFERROR(__xludf.DUMMYFUNCTION("""COMPUTED_VALUE"""),2004.0)</f>
        <v>2004</v>
      </c>
      <c r="K180" t="str">
        <f>IFERROR(__xludf.DUMMYFUNCTION("""COMPUTED_VALUE"""),"Italy")</f>
        <v>Italy</v>
      </c>
      <c r="L180">
        <f>IFERROR(__xludf.DUMMYFUNCTION("""COMPUTED_VALUE"""),4.0)</f>
        <v>4</v>
      </c>
      <c r="M180">
        <f>IFERROR(__xludf.DUMMYFUNCTION("""COMPUTED_VALUE"""),6.0)</f>
        <v>6</v>
      </c>
      <c r="N180">
        <f>IFERROR(__xludf.DUMMYFUNCTION("""COMPUTED_VALUE"""),43229.0)</f>
        <v>43229</v>
      </c>
    </row>
    <row r="181">
      <c r="A181">
        <f>IFERROR(__xludf.DUMMYFUNCTION("""COMPUTED_VALUE"""),808.0)</f>
        <v>808</v>
      </c>
      <c r="B181">
        <f>IFERROR(__xludf.DUMMYFUNCTION("""COMPUTED_VALUE"""),40.6703120693802)</f>
        <v>40.67031207</v>
      </c>
      <c r="C181">
        <f>IFERROR(__xludf.DUMMYFUNCTION("""COMPUTED_VALUE"""),16.6080397400379)</f>
        <v>16.60803974</v>
      </c>
      <c r="D181" t="str">
        <f>IFERROR(__xludf.DUMMYFUNCTION("""COMPUTED_VALUE"""),"Bed &amp; Breakfast")</f>
        <v>Bed &amp; Breakfast</v>
      </c>
      <c r="E181" t="str">
        <f>IFERROR(__xludf.DUMMYFUNCTION("""COMPUTED_VALUE"""),"LA STANZA SUI SASSI")</f>
        <v>LA STANZA SUI SASSI</v>
      </c>
      <c r="F181" t="str">
        <f>IFERROR(__xludf.DUMMYFUNCTION("""COMPUTED_VALUE"""),"ARIANNA MONTEMURRO")</f>
        <v>ARIANNA MONTEMURRO</v>
      </c>
      <c r="G181" t="str">
        <f>IFERROR(__xludf.DUMMYFUNCTION("""COMPUTED_VALUE"""),"VIA G. B. PENTASUGLIA 11")</f>
        <v>VIA G. B. PENTASUGLIA 11</v>
      </c>
      <c r="H181" t="str">
        <f>IFERROR(__xludf.DUMMYFUNCTION("""COMPUTED_VALUE"""),"Matera")</f>
        <v>Matera</v>
      </c>
      <c r="I181">
        <f>IFERROR(__xludf.DUMMYFUNCTION("""COMPUTED_VALUE"""),159.0)</f>
        <v>159</v>
      </c>
      <c r="J181">
        <f>IFERROR(__xludf.DUMMYFUNCTION("""COMPUTED_VALUE"""),3604.0)</f>
        <v>3604</v>
      </c>
      <c r="K181" t="str">
        <f>IFERROR(__xludf.DUMMYFUNCTION("""COMPUTED_VALUE"""),"Italy")</f>
        <v>Italy</v>
      </c>
      <c r="L181">
        <f>IFERROR(__xludf.DUMMYFUNCTION("""COMPUTED_VALUE"""),17.0)</f>
        <v>17</v>
      </c>
      <c r="M181">
        <f>IFERROR(__xludf.DUMMYFUNCTION("""COMPUTED_VALUE"""),2.0)</f>
        <v>2</v>
      </c>
      <c r="N181">
        <f>IFERROR(__xludf.DUMMYFUNCTION("""COMPUTED_VALUE"""),43180.0)</f>
        <v>43180</v>
      </c>
    </row>
    <row r="182">
      <c r="A182">
        <f>IFERROR(__xludf.DUMMYFUNCTION("""COMPUTED_VALUE"""),809.0)</f>
        <v>809</v>
      </c>
      <c r="B182">
        <f>IFERROR(__xludf.DUMMYFUNCTION("""COMPUTED_VALUE"""),40.6432412143243)</f>
        <v>40.64324121</v>
      </c>
      <c r="C182">
        <f>IFERROR(__xludf.DUMMYFUNCTION("""COMPUTED_VALUE"""),16.6249413595123)</f>
        <v>16.62494136</v>
      </c>
      <c r="D182" t="str">
        <f>IFERROR(__xludf.DUMMYFUNCTION("""COMPUTED_VALUE"""),"Bed &amp; Breakfast")</f>
        <v>Bed &amp; Breakfast</v>
      </c>
      <c r="E182" t="str">
        <f>IFERROR(__xludf.DUMMYFUNCTION("""COMPUTED_VALUE"""),"VILLA ALBA")</f>
        <v>VILLA ALBA</v>
      </c>
      <c r="F182" t="str">
        <f>IFERROR(__xludf.DUMMYFUNCTION("""COMPUTED_VALUE"""),"DARTIZIO ROSALBA")</f>
        <v>DARTIZIO ROSALBA</v>
      </c>
      <c r="G182" t="str">
        <f>IFERROR(__xludf.DUMMYFUNCTION("""COMPUTED_VALUE"""),"VIA T. RICCIARDI 53")</f>
        <v>VIA T. RICCIARDI 53</v>
      </c>
      <c r="H182" t="str">
        <f>IFERROR(__xludf.DUMMYFUNCTION("""COMPUTED_VALUE"""),"Matera")</f>
        <v>Matera</v>
      </c>
      <c r="I182">
        <f>IFERROR(__xludf.DUMMYFUNCTION("""COMPUTED_VALUE"""),114.0)</f>
        <v>114</v>
      </c>
      <c r="J182">
        <f>IFERROR(__xludf.DUMMYFUNCTION("""COMPUTED_VALUE"""),259.0)</f>
        <v>259</v>
      </c>
      <c r="K182" t="str">
        <f>IFERROR(__xludf.DUMMYFUNCTION("""COMPUTED_VALUE"""),"Italy")</f>
        <v>Italy</v>
      </c>
      <c r="L182">
        <f>IFERROR(__xludf.DUMMYFUNCTION("""COMPUTED_VALUE"""),3.0)</f>
        <v>3</v>
      </c>
      <c r="M182">
        <f>IFERROR(__xludf.DUMMYFUNCTION("""COMPUTED_VALUE"""),4.0)</f>
        <v>4</v>
      </c>
      <c r="N182">
        <f>IFERROR(__xludf.DUMMYFUNCTION("""COMPUTED_VALUE"""),43085.0)</f>
        <v>43085</v>
      </c>
    </row>
    <row r="183">
      <c r="A183">
        <f>IFERROR(__xludf.DUMMYFUNCTION("""COMPUTED_VALUE"""),810.0)</f>
        <v>810</v>
      </c>
      <c r="B183">
        <f>IFERROR(__xludf.DUMMYFUNCTION("""COMPUTED_VALUE"""),40.6653246078482)</f>
        <v>40.66532461</v>
      </c>
      <c r="C183">
        <f>IFERROR(__xludf.DUMMYFUNCTION("""COMPUTED_VALUE"""),16.6103403061411)</f>
        <v>16.61034031</v>
      </c>
      <c r="D183" t="str">
        <f>IFERROR(__xludf.DUMMYFUNCTION("""COMPUTED_VALUE"""),"Bed &amp; Breakfast")</f>
        <v>Bed &amp; Breakfast</v>
      </c>
      <c r="E183" t="str">
        <f>IFERROR(__xludf.DUMMYFUNCTION("""COMPUTED_VALUE"""),"PALAZZO BERNARDINI")</f>
        <v>PALAZZO BERNARDINI</v>
      </c>
      <c r="F183" t="str">
        <f>IFERROR(__xludf.DUMMYFUNCTION("""COMPUTED_VALUE"""),"PARTIPILO PAPALIA ANNA ROSA")</f>
        <v>PARTIPILO PAPALIA ANNA ROSA</v>
      </c>
      <c r="G183" t="str">
        <f>IFERROR(__xludf.DUMMYFUNCTION("""COMPUTED_VALUE"""),"VIA ARCO DEL SEDILE 9")</f>
        <v>VIA ARCO DEL SEDILE 9</v>
      </c>
      <c r="H183" t="str">
        <f>IFERROR(__xludf.DUMMYFUNCTION("""COMPUTED_VALUE"""),"Matera")</f>
        <v>Matera</v>
      </c>
      <c r="I183">
        <f>IFERROR(__xludf.DUMMYFUNCTION("""COMPUTED_VALUE"""),159.0)</f>
        <v>159</v>
      </c>
      <c r="J183">
        <f>IFERROR(__xludf.DUMMYFUNCTION("""COMPUTED_VALUE"""),1497.0)</f>
        <v>1497</v>
      </c>
      <c r="K183" t="str">
        <f>IFERROR(__xludf.DUMMYFUNCTION("""COMPUTED_VALUE"""),"Italy")</f>
        <v>Italy</v>
      </c>
      <c r="L183">
        <f>IFERROR(__xludf.DUMMYFUNCTION("""COMPUTED_VALUE"""),9.0)</f>
        <v>9</v>
      </c>
      <c r="M183">
        <f>IFERROR(__xludf.DUMMYFUNCTION("""COMPUTED_VALUE"""),8.0)</f>
        <v>8</v>
      </c>
      <c r="N183">
        <f>IFERROR(__xludf.DUMMYFUNCTION("""COMPUTED_VALUE"""),43285.0)</f>
        <v>43285</v>
      </c>
    </row>
    <row r="184">
      <c r="A184">
        <f>IFERROR(__xludf.DUMMYFUNCTION("""COMPUTED_VALUE"""),811.0)</f>
        <v>811</v>
      </c>
      <c r="B184">
        <f>IFERROR(__xludf.DUMMYFUNCTION("""COMPUTED_VALUE"""),40.6382030458842)</f>
        <v>40.63820305</v>
      </c>
      <c r="C184">
        <f>IFERROR(__xludf.DUMMYFUNCTION("""COMPUTED_VALUE"""),16.6232090551912)</f>
        <v>16.62320906</v>
      </c>
      <c r="D184" t="str">
        <f>IFERROR(__xludf.DUMMYFUNCTION("""COMPUTED_VALUE"""),"Bed &amp; Breakfast")</f>
        <v>Bed &amp; Breakfast</v>
      </c>
      <c r="E184" t="str">
        <f>IFERROR(__xludf.DUMMYFUNCTION("""COMPUTED_VALUE"""),"B&amp;B ZERO")</f>
        <v>B&amp;B ZERO</v>
      </c>
      <c r="F184" t="str">
        <f>IFERROR(__xludf.DUMMYFUNCTION("""COMPUTED_VALUE"""),"MANNARELLA SAVERIO MARIA")</f>
        <v>MANNARELLA SAVERIO MARIA</v>
      </c>
      <c r="G184" t="str">
        <f>IFERROR(__xludf.DUMMYFUNCTION("""COMPUTED_VALUE"""),"CONTRADA AGNA SENZA NUMERO CIVICO")</f>
        <v>CONTRADA AGNA SENZA NUMERO CIVICO</v>
      </c>
      <c r="H184" t="str">
        <f>IFERROR(__xludf.DUMMYFUNCTION("""COMPUTED_VALUE"""),"Matera")</f>
        <v>Matera</v>
      </c>
      <c r="I184">
        <f>IFERROR(__xludf.DUMMYFUNCTION("""COMPUTED_VALUE"""),114.0)</f>
        <v>114</v>
      </c>
      <c r="J184">
        <f>IFERROR(__xludf.DUMMYFUNCTION("""COMPUTED_VALUE"""),1075.0)</f>
        <v>1075</v>
      </c>
      <c r="K184" t="str">
        <f>IFERROR(__xludf.DUMMYFUNCTION("""COMPUTED_VALUE"""),"Italy")</f>
        <v>Italy</v>
      </c>
      <c r="L184">
        <f>IFERROR(__xludf.DUMMYFUNCTION("""COMPUTED_VALUE"""),2.0)</f>
        <v>2</v>
      </c>
      <c r="M184">
        <f>IFERROR(__xludf.DUMMYFUNCTION("""COMPUTED_VALUE"""),7.0)</f>
        <v>7</v>
      </c>
      <c r="N184">
        <f>IFERROR(__xludf.DUMMYFUNCTION("""COMPUTED_VALUE"""),43279.0)</f>
        <v>43279</v>
      </c>
    </row>
    <row r="185">
      <c r="A185">
        <f>IFERROR(__xludf.DUMMYFUNCTION("""COMPUTED_VALUE"""),812.0)</f>
        <v>812</v>
      </c>
      <c r="B185">
        <f>IFERROR(__xludf.DUMMYFUNCTION("""COMPUTED_VALUE"""),40.6675154623983)</f>
        <v>40.66751546</v>
      </c>
      <c r="C185">
        <f>IFERROR(__xludf.DUMMYFUNCTION("""COMPUTED_VALUE"""),16.6095707609426)</f>
        <v>16.60957076</v>
      </c>
      <c r="D185" t="str">
        <f>IFERROR(__xludf.DUMMYFUNCTION("""COMPUTED_VALUE"""),"Bed &amp; Breakfast")</f>
        <v>Bed &amp; Breakfast</v>
      </c>
      <c r="E185" t="str">
        <f>IFERROR(__xludf.DUMMYFUNCTION("""COMPUTED_VALUE"""),"B &amp; B A DUE PASSI")</f>
        <v>B &amp; B A DUE PASSI</v>
      </c>
      <c r="F185" t="str">
        <f>IFERROR(__xludf.DUMMYFUNCTION("""COMPUTED_VALUE"""),"ANDRISANI FRANCESCO PAOLO")</f>
        <v>ANDRISANI FRANCESCO PAOLO</v>
      </c>
      <c r="G185" t="str">
        <f>IFERROR(__xludf.DUMMYFUNCTION("""COMPUTED_VALUE"""),"VIA SAN GIOVANNI VECCHIO 35")</f>
        <v>VIA SAN GIOVANNI VECCHIO 35</v>
      </c>
      <c r="H185" t="str">
        <f>IFERROR(__xludf.DUMMYFUNCTION("""COMPUTED_VALUE"""),"Matera")</f>
        <v>Matera</v>
      </c>
      <c r="I185">
        <f>IFERROR(__xludf.DUMMYFUNCTION("""COMPUTED_VALUE"""),159.0)</f>
        <v>159</v>
      </c>
      <c r="J185">
        <f>IFERROR(__xludf.DUMMYFUNCTION("""COMPUTED_VALUE"""),326.0)</f>
        <v>326</v>
      </c>
      <c r="K185" t="str">
        <f>IFERROR(__xludf.DUMMYFUNCTION("""COMPUTED_VALUE"""),"Italy")</f>
        <v>Italy</v>
      </c>
      <c r="L185">
        <f>IFERROR(__xludf.DUMMYFUNCTION("""COMPUTED_VALUE"""),4.0)</f>
        <v>4</v>
      </c>
      <c r="M185">
        <f>IFERROR(__xludf.DUMMYFUNCTION("""COMPUTED_VALUE"""),3.0)</f>
        <v>3</v>
      </c>
      <c r="N185">
        <f>IFERROR(__xludf.DUMMYFUNCTION("""COMPUTED_VALUE"""),43308.0)</f>
        <v>43308</v>
      </c>
    </row>
    <row r="186">
      <c r="A186">
        <f>IFERROR(__xludf.DUMMYFUNCTION("""COMPUTED_VALUE"""),813.0)</f>
        <v>813</v>
      </c>
      <c r="B186">
        <f>IFERROR(__xludf.DUMMYFUNCTION("""COMPUTED_VALUE"""),40.6763691718172)</f>
        <v>40.67636917</v>
      </c>
      <c r="C186">
        <f>IFERROR(__xludf.DUMMYFUNCTION("""COMPUTED_VALUE"""),16.5962346560927)</f>
        <v>16.59623466</v>
      </c>
      <c r="D186" t="str">
        <f>IFERROR(__xludf.DUMMYFUNCTION("""COMPUTED_VALUE"""),"Bed &amp; Breakfast")</f>
        <v>Bed &amp; Breakfast</v>
      </c>
      <c r="E186" t="str">
        <f>IFERROR(__xludf.DUMMYFUNCTION("""COMPUTED_VALUE"""),"CASA MADDALENA DUE")</f>
        <v>CASA MADDALENA DUE</v>
      </c>
      <c r="F186" t="str">
        <f>IFERROR(__xludf.DUMMYFUNCTION("""COMPUTED_VALUE"""),"PERSIA GRAZIELLA")</f>
        <v>PERSIA GRAZIELLA</v>
      </c>
      <c r="G186" t="str">
        <f>IFERROR(__xludf.DUMMYFUNCTION("""COMPUTED_VALUE"""),"VIA VINCENZO PIZZILLI 5")</f>
        <v>VIA VINCENZO PIZZILLI 5</v>
      </c>
      <c r="H186" t="str">
        <f>IFERROR(__xludf.DUMMYFUNCTION("""COMPUTED_VALUE"""),"Matera")</f>
        <v>Matera</v>
      </c>
      <c r="I186">
        <f>IFERROR(__xludf.DUMMYFUNCTION("""COMPUTED_VALUE"""),159.0)</f>
        <v>159</v>
      </c>
      <c r="J186">
        <f>IFERROR(__xludf.DUMMYFUNCTION("""COMPUTED_VALUE"""),5031.0)</f>
        <v>5031</v>
      </c>
      <c r="K186" t="str">
        <f>IFERROR(__xludf.DUMMYFUNCTION("""COMPUTED_VALUE"""),"Italy")</f>
        <v>Italy</v>
      </c>
      <c r="L186">
        <f>IFERROR(__xludf.DUMMYFUNCTION("""COMPUTED_VALUE"""),8.0)</f>
        <v>8</v>
      </c>
      <c r="M186">
        <f>IFERROR(__xludf.DUMMYFUNCTION("""COMPUTED_VALUE"""),3.0)</f>
        <v>3</v>
      </c>
      <c r="N186">
        <f>IFERROR(__xludf.DUMMYFUNCTION("""COMPUTED_VALUE"""),43315.0)</f>
        <v>43315</v>
      </c>
    </row>
    <row r="187">
      <c r="A187">
        <f>IFERROR(__xludf.DUMMYFUNCTION("""COMPUTED_VALUE"""),814.0)</f>
        <v>814</v>
      </c>
      <c r="B187">
        <f>IFERROR(__xludf.DUMMYFUNCTION("""COMPUTED_VALUE"""),40.6691527972099)</f>
        <v>40.6691528</v>
      </c>
      <c r="C187">
        <f>IFERROR(__xludf.DUMMYFUNCTION("""COMPUTED_VALUE"""),16.6013746650214)</f>
        <v>16.60137467</v>
      </c>
      <c r="D187" t="str">
        <f>IFERROR(__xludf.DUMMYFUNCTION("""COMPUTED_VALUE"""),"Bed &amp; Breakfast")</f>
        <v>Bed &amp; Breakfast</v>
      </c>
      <c r="E187" t="str">
        <f>IFERROR(__xludf.DUMMYFUNCTION("""COMPUTED_VALUE"""),"LE COLOMBINE")</f>
        <v>LE COLOMBINE</v>
      </c>
      <c r="F187" t="str">
        <f>IFERROR(__xludf.DUMMYFUNCTION("""COMPUTED_VALUE"""),"EPIFANIA VALENTINA")</f>
        <v>EPIFANIA VALENTINA</v>
      </c>
      <c r="G187" t="str">
        <f>IFERROR(__xludf.DUMMYFUNCTION("""COMPUTED_VALUE"""),"VIA DANTE 10")</f>
        <v>VIA DANTE 10</v>
      </c>
      <c r="H187" t="str">
        <f>IFERROR(__xludf.DUMMYFUNCTION("""COMPUTED_VALUE"""),"Matera")</f>
        <v>Matera</v>
      </c>
      <c r="I187">
        <f>IFERROR(__xludf.DUMMYFUNCTION("""COMPUTED_VALUE"""),71.0)</f>
        <v>71</v>
      </c>
      <c r="J187">
        <f>IFERROR(__xludf.DUMMYFUNCTION("""COMPUTED_VALUE"""),879.0)</f>
        <v>879</v>
      </c>
      <c r="K187" t="str">
        <f>IFERROR(__xludf.DUMMYFUNCTION("""COMPUTED_VALUE"""),"Italy")</f>
        <v>Italy</v>
      </c>
      <c r="L187">
        <f>IFERROR(__xludf.DUMMYFUNCTION("""COMPUTED_VALUE"""),10.0)</f>
        <v>10</v>
      </c>
      <c r="M187">
        <f>IFERROR(__xludf.DUMMYFUNCTION("""COMPUTED_VALUE"""),4.0)</f>
        <v>4</v>
      </c>
      <c r="N187">
        <f>IFERROR(__xludf.DUMMYFUNCTION("""COMPUTED_VALUE"""),43348.0)</f>
        <v>43348</v>
      </c>
    </row>
    <row r="188">
      <c r="A188">
        <f>IFERROR(__xludf.DUMMYFUNCTION("""COMPUTED_VALUE"""),819.0)</f>
        <v>819</v>
      </c>
      <c r="B188">
        <f>IFERROR(__xludf.DUMMYFUNCTION("""COMPUTED_VALUE"""),40.66961)</f>
        <v>40.66961</v>
      </c>
      <c r="C188">
        <f>IFERROR(__xludf.DUMMYFUNCTION("""COMPUTED_VALUE"""),16.608905)</f>
        <v>16.608905</v>
      </c>
      <c r="D188" t="str">
        <f>IFERROR(__xludf.DUMMYFUNCTION("""COMPUTED_VALUE"""),"Bed &amp; Breakfast")</f>
        <v>Bed &amp; Breakfast</v>
      </c>
      <c r="E188" t="str">
        <f>IFERROR(__xludf.DUMMYFUNCTION("""COMPUTED_VALUE"""),"MIKASA")</f>
        <v>MIKASA</v>
      </c>
      <c r="F188" t="str">
        <f>IFERROR(__xludf.DUMMYFUNCTION("""COMPUTED_VALUE"""),"PISCIOTTA VITO MICHELE")</f>
        <v>PISCIOTTA VITO MICHELE</v>
      </c>
      <c r="G188" t="str">
        <f>IFERROR(__xludf.DUMMYFUNCTION("""COMPUTED_VALUE"""),"VIA SANTA CESAREA 15")</f>
        <v>VIA SANTA CESAREA 15</v>
      </c>
      <c r="H188" t="str">
        <f>IFERROR(__xludf.DUMMYFUNCTION("""COMPUTED_VALUE"""),"Matera")</f>
        <v>Matera</v>
      </c>
      <c r="I188">
        <f>IFERROR(__xludf.DUMMYFUNCTION("""COMPUTED_VALUE"""),159.0)</f>
        <v>159</v>
      </c>
      <c r="J188">
        <f>IFERROR(__xludf.DUMMYFUNCTION("""COMPUTED_VALUE"""),47.0)</f>
        <v>47</v>
      </c>
      <c r="K188" t="str">
        <f>IFERROR(__xludf.DUMMYFUNCTION("""COMPUTED_VALUE"""),"Italy")</f>
        <v>Italy</v>
      </c>
      <c r="L188">
        <f>IFERROR(__xludf.DUMMYFUNCTION("""COMPUTED_VALUE"""),43.0)</f>
        <v>43</v>
      </c>
      <c r="M188">
        <f>IFERROR(__xludf.DUMMYFUNCTION("""COMPUTED_VALUE"""),2.0)</f>
        <v>2</v>
      </c>
      <c r="N188">
        <f>IFERROR(__xludf.DUMMYFUNCTION("""COMPUTED_VALUE"""),43388.0)</f>
        <v>43388</v>
      </c>
    </row>
    <row r="189">
      <c r="A189">
        <f>IFERROR(__xludf.DUMMYFUNCTION("""COMPUTED_VALUE"""),820.0)</f>
        <v>820</v>
      </c>
      <c r="B189">
        <f>IFERROR(__xludf.DUMMYFUNCTION("""COMPUTED_VALUE"""),40.667059)</f>
        <v>40.667059</v>
      </c>
      <c r="C189">
        <f>IFERROR(__xludf.DUMMYFUNCTION("""COMPUTED_VALUE"""),16.604351)</f>
        <v>16.604351</v>
      </c>
      <c r="D189" t="str">
        <f>IFERROR(__xludf.DUMMYFUNCTION("""COMPUTED_VALUE"""),"Bed &amp; Breakfast")</f>
        <v>Bed &amp; Breakfast</v>
      </c>
      <c r="E189" t="str">
        <f>IFERROR(__xludf.DUMMYFUNCTION("""COMPUTED_VALUE"""),"ALL'ANGOLO")</f>
        <v>ALL'ANGOLO</v>
      </c>
      <c r="F189" t="str">
        <f>IFERROR(__xludf.DUMMYFUNCTION("""COMPUTED_VALUE"""),"SPADA FULVIO")</f>
        <v>SPADA FULVIO</v>
      </c>
      <c r="G189" t="str">
        <f>IFERROR(__xludf.DUMMYFUNCTION("""COMPUTED_VALUE"""),"VIA LUCANA 64")</f>
        <v>VIA LUCANA 64</v>
      </c>
      <c r="H189" t="str">
        <f>IFERROR(__xludf.DUMMYFUNCTION("""COMPUTED_VALUE"""),"Matera")</f>
        <v>Matera</v>
      </c>
      <c r="I189">
        <f>IFERROR(__xludf.DUMMYFUNCTION("""COMPUTED_VALUE"""),71.0)</f>
        <v>71</v>
      </c>
      <c r="J189">
        <f>IFERROR(__xludf.DUMMYFUNCTION("""COMPUTED_VALUE"""),198.0)</f>
        <v>198</v>
      </c>
      <c r="K189" t="str">
        <f>IFERROR(__xludf.DUMMYFUNCTION("""COMPUTED_VALUE"""),"Italy")</f>
        <v>Italy</v>
      </c>
      <c r="L189">
        <f>IFERROR(__xludf.DUMMYFUNCTION("""COMPUTED_VALUE"""),35.0)</f>
        <v>35</v>
      </c>
      <c r="M189">
        <f>IFERROR(__xludf.DUMMYFUNCTION("""COMPUTED_VALUE"""),8.0)</f>
        <v>8</v>
      </c>
      <c r="N189">
        <f>IFERROR(__xludf.DUMMYFUNCTION("""COMPUTED_VALUE"""),43265.0)</f>
        <v>43265</v>
      </c>
    </row>
    <row r="190">
      <c r="A190">
        <f>IFERROR(__xludf.DUMMYFUNCTION("""COMPUTED_VALUE"""),821.0)</f>
        <v>821</v>
      </c>
      <c r="B190">
        <f>IFERROR(__xludf.DUMMYFUNCTION("""COMPUTED_VALUE"""),40.637225)</f>
        <v>40.637225</v>
      </c>
      <c r="C190">
        <f>IFERROR(__xludf.DUMMYFUNCTION("""COMPUTED_VALUE"""),16.63143)</f>
        <v>16.63143</v>
      </c>
      <c r="D190" t="str">
        <f>IFERROR(__xludf.DUMMYFUNCTION("""COMPUTED_VALUE"""),"Bed &amp; Breakfast")</f>
        <v>Bed &amp; Breakfast</v>
      </c>
      <c r="E190" t="str">
        <f>IFERROR(__xludf.DUMMYFUNCTION("""COMPUTED_VALUE"""),"LE DIMORE ALL'OFRA")</f>
        <v>LE DIMORE ALL'OFRA</v>
      </c>
      <c r="F190" t="str">
        <f>IFERROR(__xludf.DUMMYFUNCTION("""COMPUTED_VALUE"""),"RIMEDIO MARIA TERESA")</f>
        <v>RIMEDIO MARIA TERESA</v>
      </c>
      <c r="G190" t="str">
        <f>IFERROR(__xludf.DUMMYFUNCTION("""COMPUTED_VALUE"""),"CONTRADA SANT'ANGELO")</f>
        <v>CONTRADA SANT'ANGELO</v>
      </c>
      <c r="H190" t="str">
        <f>IFERROR(__xludf.DUMMYFUNCTION("""COMPUTED_VALUE"""),"Matera")</f>
        <v>Matera</v>
      </c>
      <c r="I190">
        <f>IFERROR(__xludf.DUMMYFUNCTION("""COMPUTED_VALUE"""),114.0)</f>
        <v>114</v>
      </c>
      <c r="J190">
        <f>IFERROR(__xludf.DUMMYFUNCTION("""COMPUTED_VALUE"""),928.0)</f>
        <v>928</v>
      </c>
      <c r="K190" t="str">
        <f>IFERROR(__xludf.DUMMYFUNCTION("""COMPUTED_VALUE"""),"Italy")</f>
        <v>Italy</v>
      </c>
      <c r="L190" t="str">
        <f>IFERROR(__xludf.DUMMYFUNCTION("""COMPUTED_VALUE"""),"")</f>
        <v/>
      </c>
      <c r="M190">
        <f>IFERROR(__xludf.DUMMYFUNCTION("""COMPUTED_VALUE"""),8.0)</f>
        <v>8</v>
      </c>
      <c r="N190">
        <f>IFERROR(__xludf.DUMMYFUNCTION("""COMPUTED_VALUE"""),43399.0)</f>
        <v>43399</v>
      </c>
    </row>
    <row r="191">
      <c r="A191">
        <f>IFERROR(__xludf.DUMMYFUNCTION("""COMPUTED_VALUE"""),822.0)</f>
        <v>822</v>
      </c>
      <c r="B191">
        <f>IFERROR(__xludf.DUMMYFUNCTION("""COMPUTED_VALUE"""),40.659854)</f>
        <v>40.659854</v>
      </c>
      <c r="C191">
        <f>IFERROR(__xludf.DUMMYFUNCTION("""COMPUTED_VALUE"""),16.611347)</f>
        <v>16.611347</v>
      </c>
      <c r="D191" t="str">
        <f>IFERROR(__xludf.DUMMYFUNCTION("""COMPUTED_VALUE"""),"Bed &amp; Breakfast")</f>
        <v>Bed &amp; Breakfast</v>
      </c>
      <c r="E191" t="str">
        <f>IFERROR(__xludf.DUMMYFUNCTION("""COMPUTED_VALUE"""),"DONNA GINA")</f>
        <v>DONNA GINA</v>
      </c>
      <c r="F191" t="str">
        <f>IFERROR(__xludf.DUMMYFUNCTION("""COMPUTED_VALUE"""),"DI CUIA NICOLA")</f>
        <v>DI CUIA NICOLA</v>
      </c>
      <c r="G191" t="str">
        <f>IFERROR(__xludf.DUMMYFUNCTION("""COMPUTED_VALUE"""),"VIA GIUSTINO FORTUNATO 7")</f>
        <v>VIA GIUSTINO FORTUNATO 7</v>
      </c>
      <c r="H191" t="str">
        <f>IFERROR(__xludf.DUMMYFUNCTION("""COMPUTED_VALUE"""),"Matera")</f>
        <v>Matera</v>
      </c>
      <c r="I191">
        <f>IFERROR(__xludf.DUMMYFUNCTION("""COMPUTED_VALUE"""),103.0)</f>
        <v>103</v>
      </c>
      <c r="J191">
        <f>IFERROR(__xludf.DUMMYFUNCTION("""COMPUTED_VALUE"""),224.0)</f>
        <v>224</v>
      </c>
      <c r="K191" t="str">
        <f>IFERROR(__xludf.DUMMYFUNCTION("""COMPUTED_VALUE"""),"Italy")</f>
        <v>Italy</v>
      </c>
      <c r="L191">
        <f>IFERROR(__xludf.DUMMYFUNCTION("""COMPUTED_VALUE"""),14.0)</f>
        <v>14</v>
      </c>
      <c r="M191">
        <f>IFERROR(__xludf.DUMMYFUNCTION("""COMPUTED_VALUE"""),4.0)</f>
        <v>4</v>
      </c>
      <c r="N191">
        <f>IFERROR(__xludf.DUMMYFUNCTION("""COMPUTED_VALUE"""),43416.0)</f>
        <v>43416</v>
      </c>
    </row>
    <row r="192">
      <c r="A192">
        <f>IFERROR(__xludf.DUMMYFUNCTION("""COMPUTED_VALUE"""),823.0)</f>
        <v>823</v>
      </c>
      <c r="B192">
        <f>IFERROR(__xludf.DUMMYFUNCTION("""COMPUTED_VALUE"""),40.671348)</f>
        <v>40.671348</v>
      </c>
      <c r="C192">
        <f>IFERROR(__xludf.DUMMYFUNCTION("""COMPUTED_VALUE"""),16.608568)</f>
        <v>16.608568</v>
      </c>
      <c r="D192" t="str">
        <f>IFERROR(__xludf.DUMMYFUNCTION("""COMPUTED_VALUE"""),"Bed &amp; Breakfast")</f>
        <v>Bed &amp; Breakfast</v>
      </c>
      <c r="E192" t="str">
        <f>IFERROR(__xludf.DUMMYFUNCTION("""COMPUTED_VALUE"""),"4U")</f>
        <v>4U</v>
      </c>
      <c r="F192" t="str">
        <f>IFERROR(__xludf.DUMMYFUNCTION("""COMPUTED_VALUE"""),"GIOVE ERASMO")</f>
        <v>GIOVE ERASMO</v>
      </c>
      <c r="G192" t="str">
        <f>IFERROR(__xludf.DUMMYFUNCTION("""COMPUTED_VALUE"""),"VIA SANTO STEFANO 41")</f>
        <v>VIA SANTO STEFANO 41</v>
      </c>
      <c r="H192" t="str">
        <f>IFERROR(__xludf.DUMMYFUNCTION("""COMPUTED_VALUE"""),"Matera")</f>
        <v>Matera</v>
      </c>
      <c r="I192">
        <f>IFERROR(__xludf.DUMMYFUNCTION("""COMPUTED_VALUE"""),159.0)</f>
        <v>159</v>
      </c>
      <c r="J192">
        <f>IFERROR(__xludf.DUMMYFUNCTION("""COMPUTED_VALUE"""),2894.0)</f>
        <v>2894</v>
      </c>
      <c r="K192" t="str">
        <f>IFERROR(__xludf.DUMMYFUNCTION("""COMPUTED_VALUE"""),"Italy")</f>
        <v>Italy</v>
      </c>
      <c r="L192">
        <f>IFERROR(__xludf.DUMMYFUNCTION("""COMPUTED_VALUE"""),1.0)</f>
        <v>1</v>
      </c>
      <c r="M192">
        <f>IFERROR(__xludf.DUMMYFUNCTION("""COMPUTED_VALUE"""),3.0)</f>
        <v>3</v>
      </c>
      <c r="N192">
        <f>IFERROR(__xludf.DUMMYFUNCTION("""COMPUTED_VALUE"""),43438.0)</f>
        <v>43438</v>
      </c>
    </row>
    <row r="193">
      <c r="A193">
        <f>IFERROR(__xludf.DUMMYFUNCTION("""COMPUTED_VALUE"""),824.0)</f>
        <v>824</v>
      </c>
      <c r="B193">
        <f>IFERROR(__xludf.DUMMYFUNCTION("""COMPUTED_VALUE"""),40.668761)</f>
        <v>40.668761</v>
      </c>
      <c r="C193">
        <f>IFERROR(__xludf.DUMMYFUNCTION("""COMPUTED_VALUE"""),16.606013)</f>
        <v>16.606013</v>
      </c>
      <c r="D193" t="str">
        <f>IFERROR(__xludf.DUMMYFUNCTION("""COMPUTED_VALUE"""),"Bed &amp; Breakfast")</f>
        <v>Bed &amp; Breakfast</v>
      </c>
      <c r="E193" t="str">
        <f>IFERROR(__xludf.DUMMYFUNCTION("""COMPUTED_VALUE"""),"XX SETTEMBRE")</f>
        <v>XX SETTEMBRE</v>
      </c>
      <c r="F193" t="str">
        <f>IFERROR(__xludf.DUMMYFUNCTION("""COMPUTED_VALUE"""),"TRIPANI DOMENICO ANTONIO LUCA")</f>
        <v>TRIPANI DOMENICO ANTONIO LUCA</v>
      </c>
      <c r="G193" t="str">
        <f>IFERROR(__xludf.DUMMYFUNCTION("""COMPUTED_VALUE"""),"VIA XX SETTEMBRE 45")</f>
        <v>VIA XX SETTEMBRE 45</v>
      </c>
      <c r="H193" t="str">
        <f>IFERROR(__xludf.DUMMYFUNCTION("""COMPUTED_VALUE"""),"Matera")</f>
        <v>Matera</v>
      </c>
      <c r="I193">
        <f>IFERROR(__xludf.DUMMYFUNCTION("""COMPUTED_VALUE"""),159.0)</f>
        <v>159</v>
      </c>
      <c r="J193">
        <f>IFERROR(__xludf.DUMMYFUNCTION("""COMPUTED_VALUE"""),4537.0)</f>
        <v>4537</v>
      </c>
      <c r="K193" t="str">
        <f>IFERROR(__xludf.DUMMYFUNCTION("""COMPUTED_VALUE"""),"Italy")</f>
        <v>Italy</v>
      </c>
      <c r="L193">
        <f>IFERROR(__xludf.DUMMYFUNCTION("""COMPUTED_VALUE"""),29.0)</f>
        <v>29</v>
      </c>
      <c r="M193">
        <f>IFERROR(__xludf.DUMMYFUNCTION("""COMPUTED_VALUE"""),8.0)</f>
        <v>8</v>
      </c>
      <c r="N193">
        <f>IFERROR(__xludf.DUMMYFUNCTION("""COMPUTED_VALUE"""),43444.0)</f>
        <v>43444</v>
      </c>
    </row>
    <row r="194">
      <c r="A194">
        <f>IFERROR(__xludf.DUMMYFUNCTION("""COMPUTED_VALUE"""),825.0)</f>
        <v>825</v>
      </c>
      <c r="B194">
        <f>IFERROR(__xludf.DUMMYFUNCTION("""COMPUTED_VALUE"""),40.672867)</f>
        <v>40.672867</v>
      </c>
      <c r="C194">
        <f>IFERROR(__xludf.DUMMYFUNCTION("""COMPUTED_VALUE"""),16.592737)</f>
        <v>16.592737</v>
      </c>
      <c r="D194" t="str">
        <f>IFERROR(__xludf.DUMMYFUNCTION("""COMPUTED_VALUE"""),"Bed &amp; Breakfast")</f>
        <v>Bed &amp; Breakfast</v>
      </c>
      <c r="E194" t="str">
        <f>IFERROR(__xludf.DUMMYFUNCTION("""COMPUTED_VALUE"""),"NONNA GIULIA")</f>
        <v>NONNA GIULIA</v>
      </c>
      <c r="F194" t="str">
        <f>IFERROR(__xludf.DUMMYFUNCTION("""COMPUTED_VALUE"""),"BRUNO ANTONELLO")</f>
        <v>BRUNO ANTONELLO</v>
      </c>
      <c r="G194" t="str">
        <f>IFERROR(__xludf.DUMMYFUNCTION("""COMPUTED_VALUE"""),"VIA DANTE ALIGHIERI 67 BIS")</f>
        <v>VIA DANTE ALIGHIERI 67 BIS</v>
      </c>
      <c r="H194" t="str">
        <f>IFERROR(__xludf.DUMMYFUNCTION("""COMPUTED_VALUE"""),"Matera")</f>
        <v>Matera</v>
      </c>
      <c r="I194">
        <f>IFERROR(__xludf.DUMMYFUNCTION("""COMPUTED_VALUE"""),69.0)</f>
        <v>69</v>
      </c>
      <c r="J194">
        <f>IFERROR(__xludf.DUMMYFUNCTION("""COMPUTED_VALUE"""),1600.0)</f>
        <v>1600</v>
      </c>
      <c r="K194" t="str">
        <f>IFERROR(__xludf.DUMMYFUNCTION("""COMPUTED_VALUE"""),"Italy")</f>
        <v>Italy</v>
      </c>
      <c r="L194">
        <f>IFERROR(__xludf.DUMMYFUNCTION("""COMPUTED_VALUE"""),15.0)</f>
        <v>15</v>
      </c>
      <c r="M194">
        <f>IFERROR(__xludf.DUMMYFUNCTION("""COMPUTED_VALUE"""),4.0)</f>
        <v>4</v>
      </c>
      <c r="N194">
        <f>IFERROR(__xludf.DUMMYFUNCTION("""COMPUTED_VALUE"""),43441.0)</f>
        <v>43441</v>
      </c>
    </row>
    <row r="195">
      <c r="A195">
        <f>IFERROR(__xludf.DUMMYFUNCTION("""COMPUTED_VALUE"""),826.0)</f>
        <v>826</v>
      </c>
      <c r="B195">
        <f>IFERROR(__xludf.DUMMYFUNCTION("""COMPUTED_VALUE"""),40.671951)</f>
        <v>40.671951</v>
      </c>
      <c r="C195">
        <f>IFERROR(__xludf.DUMMYFUNCTION("""COMPUTED_VALUE"""),16.60841)</f>
        <v>16.60841</v>
      </c>
      <c r="D195" t="str">
        <f>IFERROR(__xludf.DUMMYFUNCTION("""COMPUTED_VALUE"""),"Bed &amp; Breakfast")</f>
        <v>Bed &amp; Breakfast</v>
      </c>
      <c r="E195" t="str">
        <f>IFERROR(__xludf.DUMMYFUNCTION("""COMPUTED_VALUE"""),"IL PECCATO ORIGINALE")</f>
        <v>IL PECCATO ORIGINALE</v>
      </c>
      <c r="F195" t="str">
        <f>IFERROR(__xludf.DUMMYFUNCTION("""COMPUTED_VALUE"""),"AZZONE GIOVANNI")</f>
        <v>AZZONE GIOVANNI</v>
      </c>
      <c r="G195" t="str">
        <f>IFERROR(__xludf.DUMMYFUNCTION("""COMPUTED_VALUE"""),"VIA SANTO STEFANO 60")</f>
        <v>VIA SANTO STEFANO 60</v>
      </c>
      <c r="H195" t="str">
        <f>IFERROR(__xludf.DUMMYFUNCTION("""COMPUTED_VALUE"""),"Matera")</f>
        <v>Matera</v>
      </c>
      <c r="I195">
        <f>IFERROR(__xludf.DUMMYFUNCTION("""COMPUTED_VALUE"""),159.0)</f>
        <v>159</v>
      </c>
      <c r="J195">
        <f>IFERROR(__xludf.DUMMYFUNCTION("""COMPUTED_VALUE"""),2892.0)</f>
        <v>2892</v>
      </c>
      <c r="K195" t="str">
        <f>IFERROR(__xludf.DUMMYFUNCTION("""COMPUTED_VALUE"""),"Italy")</f>
        <v>Italy</v>
      </c>
      <c r="L195">
        <f>IFERROR(__xludf.DUMMYFUNCTION("""COMPUTED_VALUE"""),1.0)</f>
        <v>1</v>
      </c>
      <c r="M195">
        <f>IFERROR(__xludf.DUMMYFUNCTION("""COMPUTED_VALUE"""),5.0)</f>
        <v>5</v>
      </c>
      <c r="N195">
        <f>IFERROR(__xludf.DUMMYFUNCTION("""COMPUTED_VALUE"""),43122.0)</f>
        <v>43122</v>
      </c>
    </row>
    <row r="196">
      <c r="A196">
        <f>IFERROR(__xludf.DUMMYFUNCTION("""COMPUTED_VALUE"""),827.0)</f>
        <v>827</v>
      </c>
      <c r="B196">
        <f>IFERROR(__xludf.DUMMYFUNCTION("""COMPUTED_VALUE"""),40.659781)</f>
        <v>40.659781</v>
      </c>
      <c r="C196">
        <f>IFERROR(__xludf.DUMMYFUNCTION("""COMPUTED_VALUE"""),16.544787)</f>
        <v>16.544787</v>
      </c>
      <c r="D196" t="str">
        <f>IFERROR(__xludf.DUMMYFUNCTION("""COMPUTED_VALUE"""),"Bed &amp; Breakfast")</f>
        <v>Bed &amp; Breakfast</v>
      </c>
      <c r="E196" t="str">
        <f>IFERROR(__xludf.DUMMYFUNCTION("""COMPUTED_VALUE"""),"VILLA MATER B&amp;B")</f>
        <v>VILLA MATER B&amp;B</v>
      </c>
      <c r="F196" t="str">
        <f>IFERROR(__xludf.DUMMYFUNCTION("""COMPUTED_VALUE"""),"SCHIUMA GIOVANNI")</f>
        <v>SCHIUMA GIOVANNI</v>
      </c>
      <c r="G196" t="str">
        <f>IFERROR(__xludf.DUMMYFUNCTION("""COMPUTED_VALUE"""),"VIA MONTICCHIO 1")</f>
        <v>VIA MONTICCHIO 1</v>
      </c>
      <c r="H196" t="str">
        <f>IFERROR(__xludf.DUMMYFUNCTION("""COMPUTED_VALUE"""),"Matera")</f>
        <v>Matera</v>
      </c>
      <c r="I196">
        <f>IFERROR(__xludf.DUMMYFUNCTION("""COMPUTED_VALUE"""),65.0)</f>
        <v>65</v>
      </c>
      <c r="J196">
        <f>IFERROR(__xludf.DUMMYFUNCTION("""COMPUTED_VALUE"""),863.0)</f>
        <v>863</v>
      </c>
      <c r="K196" t="str">
        <f>IFERROR(__xludf.DUMMYFUNCTION("""COMPUTED_VALUE"""),"Italy")</f>
        <v>Italy</v>
      </c>
      <c r="L196">
        <f>IFERROR(__xludf.DUMMYFUNCTION("""COMPUTED_VALUE"""),3.0)</f>
        <v>3</v>
      </c>
      <c r="M196">
        <f>IFERROR(__xludf.DUMMYFUNCTION("""COMPUTED_VALUE"""),4.0)</f>
        <v>4</v>
      </c>
      <c r="N196">
        <f>IFERROR(__xludf.DUMMYFUNCTION("""COMPUTED_VALUE"""),43449.0)</f>
        <v>43449</v>
      </c>
    </row>
    <row r="197">
      <c r="A197">
        <f>IFERROR(__xludf.DUMMYFUNCTION("""COMPUTED_VALUE"""),828.0)</f>
        <v>828</v>
      </c>
      <c r="B197">
        <f>IFERROR(__xludf.DUMMYFUNCTION("""COMPUTED_VALUE"""),40.672549)</f>
        <v>40.672549</v>
      </c>
      <c r="C197">
        <f>IFERROR(__xludf.DUMMYFUNCTION("""COMPUTED_VALUE"""),16.607446)</f>
        <v>16.607446</v>
      </c>
      <c r="D197" t="str">
        <f>IFERROR(__xludf.DUMMYFUNCTION("""COMPUTED_VALUE"""),"Bed &amp; Breakfast")</f>
        <v>Bed &amp; Breakfast</v>
      </c>
      <c r="E197" t="str">
        <f>IFERROR(__xludf.DUMMYFUNCTION("""COMPUTED_VALUE"""),"DIOMEDE")</f>
        <v>DIOMEDE</v>
      </c>
      <c r="F197" t="str">
        <f>IFERROR(__xludf.DUMMYFUNCTION("""COMPUTED_VALUE"""),"GIANNOLO ANNALISA")</f>
        <v>GIANNOLO ANNALISA</v>
      </c>
      <c r="G197" t="str">
        <f>IFERROR(__xludf.DUMMYFUNCTION("""COMPUTED_VALUE"""),"VIA GIUSEPPE GATTINI 49")</f>
        <v>VIA GIUSEPPE GATTINI 49</v>
      </c>
      <c r="H197" t="str">
        <f>IFERROR(__xludf.DUMMYFUNCTION("""COMPUTED_VALUE"""),"Matera")</f>
        <v>Matera</v>
      </c>
      <c r="I197">
        <f>IFERROR(__xludf.DUMMYFUNCTION("""COMPUTED_VALUE"""),159.0)</f>
        <v>159</v>
      </c>
      <c r="J197">
        <f>IFERROR(__xludf.DUMMYFUNCTION("""COMPUTED_VALUE"""),3626.0)</f>
        <v>3626</v>
      </c>
      <c r="K197" t="str">
        <f>IFERROR(__xludf.DUMMYFUNCTION("""COMPUTED_VALUE"""),"Italy")</f>
        <v>Italy</v>
      </c>
      <c r="L197">
        <f>IFERROR(__xludf.DUMMYFUNCTION("""COMPUTED_VALUE"""),4.0)</f>
        <v>4</v>
      </c>
      <c r="M197">
        <f>IFERROR(__xludf.DUMMYFUNCTION("""COMPUTED_VALUE"""),2.0)</f>
        <v>2</v>
      </c>
      <c r="N197">
        <f>IFERROR(__xludf.DUMMYFUNCTION("""COMPUTED_VALUE"""),43453.0)</f>
        <v>43453</v>
      </c>
    </row>
    <row r="198">
      <c r="A198">
        <f>IFERROR(__xludf.DUMMYFUNCTION("""COMPUTED_VALUE"""),829.0)</f>
        <v>829</v>
      </c>
      <c r="B198">
        <f>IFERROR(__xludf.DUMMYFUNCTION("""COMPUTED_VALUE"""),40.681142)</f>
        <v>40.681142</v>
      </c>
      <c r="C198">
        <f>IFERROR(__xludf.DUMMYFUNCTION("""COMPUTED_VALUE"""),16.580851)</f>
        <v>16.580851</v>
      </c>
      <c r="D198" t="str">
        <f>IFERROR(__xludf.DUMMYFUNCTION("""COMPUTED_VALUE"""),"Bed &amp; Breakfast")</f>
        <v>Bed &amp; Breakfast</v>
      </c>
      <c r="E198" t="str">
        <f>IFERROR(__xludf.DUMMYFUNCTION("""COMPUTED_VALUE"""),"LA CASA DI STEFANO")</f>
        <v>LA CASA DI STEFANO</v>
      </c>
      <c r="F198" t="str">
        <f>IFERROR(__xludf.DUMMYFUNCTION("""COMPUTED_VALUE"""),"ORSI STEFANO")</f>
        <v>ORSI STEFANO</v>
      </c>
      <c r="G198" t="str">
        <f>IFERROR(__xludf.DUMMYFUNCTION("""COMPUTED_VALUE"""),"VIA VIRGILIO 5 -F-")</f>
        <v>VIA VIRGILIO 5 -F-</v>
      </c>
      <c r="H198" t="str">
        <f>IFERROR(__xludf.DUMMYFUNCTION("""COMPUTED_VALUE"""),"Matera")</f>
        <v>Matera</v>
      </c>
      <c r="I198">
        <f>IFERROR(__xludf.DUMMYFUNCTION("""COMPUTED_VALUE"""),68.0)</f>
        <v>68</v>
      </c>
      <c r="J198">
        <f>IFERROR(__xludf.DUMMYFUNCTION("""COMPUTED_VALUE"""),1094.0)</f>
        <v>1094</v>
      </c>
      <c r="K198" t="str">
        <f>IFERROR(__xludf.DUMMYFUNCTION("""COMPUTED_VALUE"""),"Italy")</f>
        <v>Italy</v>
      </c>
      <c r="L198">
        <f>IFERROR(__xludf.DUMMYFUNCTION("""COMPUTED_VALUE"""),31.0)</f>
        <v>31</v>
      </c>
      <c r="M198">
        <f>IFERROR(__xludf.DUMMYFUNCTION("""COMPUTED_VALUE"""),4.0)</f>
        <v>4</v>
      </c>
      <c r="N198">
        <f>IFERROR(__xludf.DUMMYFUNCTION("""COMPUTED_VALUE"""),43452.0)</f>
        <v>43452</v>
      </c>
    </row>
    <row r="199">
      <c r="A199">
        <f>IFERROR(__xludf.DUMMYFUNCTION("""COMPUTED_VALUE"""),830.0)</f>
        <v>830</v>
      </c>
      <c r="B199">
        <f>IFERROR(__xludf.DUMMYFUNCTION("""COMPUTED_VALUE"""),40.661206)</f>
        <v>40.661206</v>
      </c>
      <c r="C199">
        <f>IFERROR(__xludf.DUMMYFUNCTION("""COMPUTED_VALUE"""),16.606776)</f>
        <v>16.606776</v>
      </c>
      <c r="D199" t="str">
        <f>IFERROR(__xludf.DUMMYFUNCTION("""COMPUTED_VALUE"""),"Bed &amp; Breakfast")</f>
        <v>Bed &amp; Breakfast</v>
      </c>
      <c r="E199" t="str">
        <f>IFERROR(__xludf.DUMMYFUNCTION("""COMPUTED_VALUE"""),"ANNA SUITE ROOM B&amp;B")</f>
        <v>ANNA SUITE ROOM B&amp;B</v>
      </c>
      <c r="F199" t="str">
        <f>IFERROR(__xludf.DUMMYFUNCTION("""COMPUTED_VALUE"""),"CRISTIANO ANNA MARIA")</f>
        <v>CRISTIANO ANNA MARIA</v>
      </c>
      <c r="G199" t="str">
        <f>IFERROR(__xludf.DUMMYFUNCTION("""COMPUTED_VALUE"""),"VIA VINCENZO CAROPRESO 10")</f>
        <v>VIA VINCENZO CAROPRESO 10</v>
      </c>
      <c r="H199" t="str">
        <f>IFERROR(__xludf.DUMMYFUNCTION("""COMPUTED_VALUE"""),"Matera")</f>
        <v>Matera</v>
      </c>
      <c r="I199">
        <f>IFERROR(__xludf.DUMMYFUNCTION("""COMPUTED_VALUE"""),103.0)</f>
        <v>103</v>
      </c>
      <c r="J199">
        <f>IFERROR(__xludf.DUMMYFUNCTION("""COMPUTED_VALUE"""),885.0)</f>
        <v>885</v>
      </c>
      <c r="K199" t="str">
        <f>IFERROR(__xludf.DUMMYFUNCTION("""COMPUTED_VALUE"""),"Italy")</f>
        <v>Italy</v>
      </c>
      <c r="L199">
        <f>IFERROR(__xludf.DUMMYFUNCTION("""COMPUTED_VALUE"""),1.0)</f>
        <v>1</v>
      </c>
      <c r="M199">
        <f>IFERROR(__xludf.DUMMYFUNCTION("""COMPUTED_VALUE"""),2.0)</f>
        <v>2</v>
      </c>
      <c r="N199">
        <f>IFERROR(__xludf.DUMMYFUNCTION("""COMPUTED_VALUE"""),43476.0)</f>
        <v>43476</v>
      </c>
    </row>
    <row r="200">
      <c r="A200">
        <f>IFERROR(__xludf.DUMMYFUNCTION("""COMPUTED_VALUE"""),831.0)</f>
        <v>831</v>
      </c>
      <c r="B200">
        <f>IFERROR(__xludf.DUMMYFUNCTION("""COMPUTED_VALUE"""),40.636346)</f>
        <v>40.636346</v>
      </c>
      <c r="C200">
        <f>IFERROR(__xludf.DUMMYFUNCTION("""COMPUTED_VALUE"""),16.62225)</f>
        <v>16.62225</v>
      </c>
      <c r="D200" t="str">
        <f>IFERROR(__xludf.DUMMYFUNCTION("""COMPUTED_VALUE"""),"Bed &amp; Breakfast")</f>
        <v>Bed &amp; Breakfast</v>
      </c>
      <c r="E200" t="str">
        <f>IFERROR(__xludf.DUMMYFUNCTION("""COMPUTED_VALUE"""),"B &amp; B CUOREVERDE MATERA")</f>
        <v>B &amp; B CUOREVERDE MATERA</v>
      </c>
      <c r="F200" t="str">
        <f>IFERROR(__xludf.DUMMYFUNCTION("""COMPUTED_VALUE"""),"IACONIS GIOVANNA")</f>
        <v>IACONIS GIOVANNA</v>
      </c>
      <c r="G200" t="str">
        <f>IFERROR(__xludf.DUMMYFUNCTION("""COMPUTED_VALUE"""),"CONTRADELLA GIARDINETTO GRAVINELLA")</f>
        <v>CONTRADELLA GIARDINETTO GRAVINELLA</v>
      </c>
      <c r="H200" t="str">
        <f>IFERROR(__xludf.DUMMYFUNCTION("""COMPUTED_VALUE"""),"Matera")</f>
        <v>Matera</v>
      </c>
      <c r="I200">
        <f>IFERROR(__xludf.DUMMYFUNCTION("""COMPUTED_VALUE"""),134.0)</f>
        <v>134</v>
      </c>
      <c r="J200">
        <f>IFERROR(__xludf.DUMMYFUNCTION("""COMPUTED_VALUE"""),178.0)</f>
        <v>178</v>
      </c>
      <c r="K200" t="str">
        <f>IFERROR(__xludf.DUMMYFUNCTION("""COMPUTED_VALUE"""),"Italy")</f>
        <v>Italy</v>
      </c>
      <c r="L200">
        <f>IFERROR(__xludf.DUMMYFUNCTION("""COMPUTED_VALUE"""),1.0)</f>
        <v>1</v>
      </c>
      <c r="M200">
        <f>IFERROR(__xludf.DUMMYFUNCTION("""COMPUTED_VALUE"""),4.0)</f>
        <v>4</v>
      </c>
      <c r="N200">
        <f>IFERROR(__xludf.DUMMYFUNCTION("""COMPUTED_VALUE"""),43456.0)</f>
        <v>43456</v>
      </c>
    </row>
    <row r="201">
      <c r="A201">
        <f>IFERROR(__xludf.DUMMYFUNCTION("""COMPUTED_VALUE"""),832.0)</f>
        <v>832</v>
      </c>
      <c r="B201">
        <f>IFERROR(__xludf.DUMMYFUNCTION("""COMPUTED_VALUE"""),40.670446)</f>
        <v>40.670446</v>
      </c>
      <c r="C201">
        <f>IFERROR(__xludf.DUMMYFUNCTION("""COMPUTED_VALUE"""),16.607716)</f>
        <v>16.607716</v>
      </c>
      <c r="D201" t="str">
        <f>IFERROR(__xludf.DUMMYFUNCTION("""COMPUTED_VALUE"""),"Bed &amp; Breakfast")</f>
        <v>Bed &amp; Breakfast</v>
      </c>
      <c r="E201" t="str">
        <f>IFERROR(__xludf.DUMMYFUNCTION("""COMPUTED_VALUE"""),"DIMORA CENTRALE")</f>
        <v>DIMORA CENTRALE</v>
      </c>
      <c r="F201" t="str">
        <f>IFERROR(__xludf.DUMMYFUNCTION("""COMPUTED_VALUE"""),"D'ALEMA FRANCESCO")</f>
        <v>D'ALEMA FRANCESCO</v>
      </c>
      <c r="G201" t="str">
        <f>IFERROR(__xludf.DUMMYFUNCTION("""COMPUTED_VALUE"""),"VIA PENTASUGLIA 27")</f>
        <v>VIA PENTASUGLIA 27</v>
      </c>
      <c r="H201" t="str">
        <f>IFERROR(__xludf.DUMMYFUNCTION("""COMPUTED_VALUE"""),"Matera")</f>
        <v>Matera</v>
      </c>
      <c r="I201">
        <f>IFERROR(__xludf.DUMMYFUNCTION("""COMPUTED_VALUE"""),159.0)</f>
        <v>159</v>
      </c>
      <c r="J201">
        <f>IFERROR(__xludf.DUMMYFUNCTION("""COMPUTED_VALUE"""),3006.0)</f>
        <v>3006</v>
      </c>
      <c r="K201" t="str">
        <f>IFERROR(__xludf.DUMMYFUNCTION("""COMPUTED_VALUE"""),"Italy")</f>
        <v>Italy</v>
      </c>
      <c r="L201">
        <f>IFERROR(__xludf.DUMMYFUNCTION("""COMPUTED_VALUE"""),7.0)</f>
        <v>7</v>
      </c>
      <c r="M201">
        <f>IFERROR(__xludf.DUMMYFUNCTION("""COMPUTED_VALUE"""),4.0)</f>
        <v>4</v>
      </c>
      <c r="N201">
        <f>IFERROR(__xludf.DUMMYFUNCTION("""COMPUTED_VALUE"""),43462.0)</f>
        <v>43462</v>
      </c>
    </row>
    <row r="202">
      <c r="A202">
        <f>IFERROR(__xludf.DUMMYFUNCTION("""COMPUTED_VALUE"""),833.0)</f>
        <v>833</v>
      </c>
      <c r="B202">
        <f>IFERROR(__xludf.DUMMYFUNCTION("""COMPUTED_VALUE"""),40.676722)</f>
        <v>40.676722</v>
      </c>
      <c r="C202">
        <f>IFERROR(__xludf.DUMMYFUNCTION("""COMPUTED_VALUE"""),16.578338)</f>
        <v>16.578338</v>
      </c>
      <c r="D202" t="str">
        <f>IFERROR(__xludf.DUMMYFUNCTION("""COMPUTED_VALUE"""),"Bed &amp; Breakfast")</f>
        <v>Bed &amp; Breakfast</v>
      </c>
      <c r="E202" t="str">
        <f>IFERROR(__xludf.DUMMYFUNCTION("""COMPUTED_VALUE"""),"IL CANTAGALLO")</f>
        <v>IL CANTAGALLO</v>
      </c>
      <c r="F202" t="str">
        <f>IFERROR(__xludf.DUMMYFUNCTION("""COMPUTED_VALUE"""),"ROSARIA ROSELLI")</f>
        <v>ROSARIA ROSELLI</v>
      </c>
      <c r="G202" t="str">
        <f>IFERROR(__xludf.DUMMYFUNCTION("""COMPUTED_VALUE"""),"VIA TARANTO 41")</f>
        <v>VIA TARANTO 41</v>
      </c>
      <c r="H202" t="str">
        <f>IFERROR(__xludf.DUMMYFUNCTION("""COMPUTED_VALUE"""),"Matera ")</f>
        <v>Matera </v>
      </c>
      <c r="I202">
        <f>IFERROR(__xludf.DUMMYFUNCTION("""COMPUTED_VALUE"""),67.0)</f>
        <v>67</v>
      </c>
      <c r="J202">
        <f>IFERROR(__xludf.DUMMYFUNCTION("""COMPUTED_VALUE"""),266.0)</f>
        <v>266</v>
      </c>
      <c r="K202" t="str">
        <f>IFERROR(__xludf.DUMMYFUNCTION("""COMPUTED_VALUE"""),"Italy")</f>
        <v>Italy</v>
      </c>
      <c r="L202">
        <f>IFERROR(__xludf.DUMMYFUNCTION("""COMPUTED_VALUE"""),64.0)</f>
        <v>64</v>
      </c>
      <c r="M202">
        <f>IFERROR(__xludf.DUMMYFUNCTION("""COMPUTED_VALUE"""),2.0)</f>
        <v>2</v>
      </c>
      <c r="N202">
        <f>IFERROR(__xludf.DUMMYFUNCTION("""COMPUTED_VALUE"""),43497.0)</f>
        <v>43497</v>
      </c>
    </row>
    <row r="203">
      <c r="A203">
        <f>IFERROR(__xludf.DUMMYFUNCTION("""COMPUTED_VALUE"""),834.0)</f>
        <v>834</v>
      </c>
      <c r="B203">
        <f>IFERROR(__xludf.DUMMYFUNCTION("""COMPUTED_VALUE"""),40.66258)</f>
        <v>40.66258</v>
      </c>
      <c r="C203">
        <f>IFERROR(__xludf.DUMMYFUNCTION("""COMPUTED_VALUE"""),16.6114)</f>
        <v>16.6114</v>
      </c>
      <c r="D203" t="str">
        <f>IFERROR(__xludf.DUMMYFUNCTION("""COMPUTED_VALUE"""),"Bed &amp; Breakfast")</f>
        <v>Bed &amp; Breakfast</v>
      </c>
      <c r="E203" t="str">
        <f>IFERROR(__xludf.DUMMYFUNCTION("""COMPUTED_VALUE"""),"IL PALAZZOTTO DEL CAVEOSO DUE")</f>
        <v>IL PALAZZOTTO DEL CAVEOSO DUE</v>
      </c>
      <c r="F203" t="str">
        <f>IFERROR(__xludf.DUMMYFUNCTION("""COMPUTED_VALUE"""),"SPAGNUOLO GIUSEPPE")</f>
        <v>SPAGNUOLO GIUSEPPE</v>
      </c>
      <c r="G203" t="str">
        <f>IFERROR(__xludf.DUMMYFUNCTION("""COMPUTED_VALUE"""),"VIA SAN FRANCESCO PAOLO VECCHIO 2 E 3")</f>
        <v>VIA SAN FRANCESCO PAOLO VECCHIO 2 E 3</v>
      </c>
      <c r="H203" t="str">
        <f>IFERROR(__xludf.DUMMYFUNCTION("""COMPUTED_VALUE"""),"Matera")</f>
        <v>Matera</v>
      </c>
      <c r="I203">
        <f>IFERROR(__xludf.DUMMYFUNCTION("""COMPUTED_VALUE"""),159.0)</f>
        <v>159</v>
      </c>
      <c r="J203">
        <f>IFERROR(__xludf.DUMMYFUNCTION("""COMPUTED_VALUE"""),1964.0)</f>
        <v>1964</v>
      </c>
      <c r="K203" t="str">
        <f>IFERROR(__xludf.DUMMYFUNCTION("""COMPUTED_VALUE"""),"Italy")</f>
        <v>Italy</v>
      </c>
      <c r="L203">
        <f>IFERROR(__xludf.DUMMYFUNCTION("""COMPUTED_VALUE"""),5.0)</f>
        <v>5</v>
      </c>
      <c r="M203">
        <f>IFERROR(__xludf.DUMMYFUNCTION("""COMPUTED_VALUE"""),2.0)</f>
        <v>2</v>
      </c>
      <c r="N203">
        <f>IFERROR(__xludf.DUMMYFUNCTION("""COMPUTED_VALUE"""),43564.0)</f>
        <v>43564</v>
      </c>
    </row>
    <row r="204">
      <c r="A204">
        <f>IFERROR(__xludf.DUMMYFUNCTION("""COMPUTED_VALUE"""),835.0)</f>
        <v>835</v>
      </c>
      <c r="B204">
        <f>IFERROR(__xludf.DUMMYFUNCTION("""COMPUTED_VALUE"""),40.66784)</f>
        <v>40.66784</v>
      </c>
      <c r="C204">
        <f>IFERROR(__xludf.DUMMYFUNCTION("""COMPUTED_VALUE"""),16.61056)</f>
        <v>16.61056</v>
      </c>
      <c r="D204" t="str">
        <f>IFERROR(__xludf.DUMMYFUNCTION("""COMPUTED_VALUE"""),"Bed &amp; Breakfast")</f>
        <v>Bed &amp; Breakfast</v>
      </c>
      <c r="E204" t="str">
        <f>IFERROR(__xludf.DUMMYFUNCTION("""COMPUTED_VALUE"""),"GRADELLE SAN NICOLA")</f>
        <v>GRADELLE SAN NICOLA</v>
      </c>
      <c r="F204" t="str">
        <f>IFERROR(__xludf.DUMMYFUNCTION("""COMPUTED_VALUE"""),"FESTA LUCA")</f>
        <v>FESTA LUCA</v>
      </c>
      <c r="G204" t="str">
        <f>IFERROR(__xludf.DUMMYFUNCTION("""COMPUTED_VALUE""")," GRADELLE SAN NICOLA DEL SOLE 13/15")</f>
        <v> GRADELLE SAN NICOLA DEL SOLE 13/15</v>
      </c>
      <c r="H204" t="str">
        <f>IFERROR(__xludf.DUMMYFUNCTION("""COMPUTED_VALUE"""),"Matera")</f>
        <v>Matera</v>
      </c>
      <c r="I204">
        <f>IFERROR(__xludf.DUMMYFUNCTION("""COMPUTED_VALUE"""),159.0)</f>
        <v>159</v>
      </c>
      <c r="J204">
        <f>IFERROR(__xludf.DUMMYFUNCTION("""COMPUTED_VALUE"""),961.0)</f>
        <v>961</v>
      </c>
      <c r="K204" t="str">
        <f>IFERROR(__xludf.DUMMYFUNCTION("""COMPUTED_VALUE"""),"Italy")</f>
        <v>Italy</v>
      </c>
      <c r="L204">
        <f>IFERROR(__xludf.DUMMYFUNCTION("""COMPUTED_VALUE"""),4.0)</f>
        <v>4</v>
      </c>
      <c r="M204">
        <f>IFERROR(__xludf.DUMMYFUNCTION("""COMPUTED_VALUE"""),4.0)</f>
        <v>4</v>
      </c>
      <c r="N204">
        <f>IFERROR(__xludf.DUMMYFUNCTION("""COMPUTED_VALUE"""),43524.0)</f>
        <v>43524</v>
      </c>
    </row>
    <row r="205">
      <c r="A205">
        <f>IFERROR(__xludf.DUMMYFUNCTION("""COMPUTED_VALUE"""),836.0)</f>
        <v>836</v>
      </c>
      <c r="B205" t="str">
        <f>IFERROR(__xludf.DUMMYFUNCTION("""COMPUTED_VALUE"""),"")</f>
        <v/>
      </c>
      <c r="C205" t="str">
        <f>IFERROR(__xludf.DUMMYFUNCTION("""COMPUTED_VALUE"""),"")</f>
        <v/>
      </c>
      <c r="D205" t="str">
        <f>IFERROR(__xludf.DUMMYFUNCTION("""COMPUTED_VALUE"""),"Bed &amp; Breakfast")</f>
        <v>Bed &amp; Breakfast</v>
      </c>
      <c r="E205" t="str">
        <f>IFERROR(__xludf.DUMMYFUNCTION("""COMPUTED_VALUE"""),"B&amp;B IL CUCU'")</f>
        <v>B&amp;B IL CUCU'</v>
      </c>
      <c r="F205" t="str">
        <f>IFERROR(__xludf.DUMMYFUNCTION("""COMPUTED_VALUE"""),"COMMISSO ELISABETTA")</f>
        <v>COMMISSO ELISABETTA</v>
      </c>
      <c r="G205" t="str">
        <f>IFERROR(__xludf.DUMMYFUNCTION("""COMPUTED_VALUE"""),"VIA CASALNUOVO 227")</f>
        <v>VIA CASALNUOVO 227</v>
      </c>
      <c r="H205" t="str">
        <f>IFERROR(__xludf.DUMMYFUNCTION("""COMPUTED_VALUE"""),"Matera")</f>
        <v>Matera</v>
      </c>
      <c r="I205">
        <f>IFERROR(__xludf.DUMMYFUNCTION("""COMPUTED_VALUE"""),159.0)</f>
        <v>159</v>
      </c>
      <c r="J205">
        <f>IFERROR(__xludf.DUMMYFUNCTION("""COMPUTED_VALUE"""),2883.0)</f>
        <v>2883</v>
      </c>
      <c r="K205" t="str">
        <f>IFERROR(__xludf.DUMMYFUNCTION("""COMPUTED_VALUE"""),"Italy")</f>
        <v>Italy</v>
      </c>
      <c r="L205">
        <f>IFERROR(__xludf.DUMMYFUNCTION("""COMPUTED_VALUE"""),3.0)</f>
        <v>3</v>
      </c>
      <c r="M205">
        <f>IFERROR(__xludf.DUMMYFUNCTION("""COMPUTED_VALUE"""),5.0)</f>
        <v>5</v>
      </c>
      <c r="N205">
        <f>IFERROR(__xludf.DUMMYFUNCTION("""COMPUTED_VALUE"""),43570.0)</f>
        <v>43570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IFERROR(__xludf.DUMMYFUNCTION("IMPORTDATA(""https://spreadsheets.google.com/tq?tqx=out:csv&amp;tq=select%20A,B,C,D,E,F,G,H,J,K,I,L,N,O,P%20&amp;key=1nSr-xXp7oHEWkKvvS3_keRN4yU4g_tcRQYlHiJUztpE&amp;gid=1603538396"")"),"LAT")</f>
        <v>LAT</v>
      </c>
      <c r="B1" t="str">
        <f>IFERROR(__xludf.DUMMYFUNCTION("""COMPUTED_VALUE"""),"LON")</f>
        <v>LON</v>
      </c>
      <c r="C1" t="str">
        <f>IFERROR(__xludf.DUMMYFUNCTION("""COMPUTED_VALUE"""),"TIPOLOGIA")</f>
        <v>TIPOLOGIA</v>
      </c>
      <c r="D1" t="str">
        <f>IFERROR(__xludf.DUMMYFUNCTION("""COMPUTED_VALUE"""),"name")</f>
        <v>name</v>
      </c>
      <c r="E1" t="str">
        <f>IFERROR(__xludf.DUMMYFUNCTION("""COMPUTED_VALUE"""),"LEGALE_RA")</f>
        <v>LEGALE_RA</v>
      </c>
      <c r="F1" t="str">
        <f>IFERROR(__xludf.DUMMYFUNCTION("""COMPUTED_VALUE"""),"UBICAZIONE")</f>
        <v>UBICAZIONE</v>
      </c>
      <c r="G1" t="str">
        <f>IFERROR(__xludf.DUMMYFUNCTION("""COMPUTED_VALUE"""),"City")</f>
        <v>City</v>
      </c>
      <c r="H1" t="str">
        <f>IFERROR(__xludf.DUMMYFUNCTION("""COMPUTED_VALUE"""),"Country")</f>
        <v>Country</v>
      </c>
      <c r="I1" t="str">
        <f>IFERROR(__xludf.DUMMYFUNCTION("""COMPUTED_VALUE"""),"PARTICELLA")</f>
        <v>PARTICELLA</v>
      </c>
      <c r="J1" t="str">
        <f>IFERROR(__xludf.DUMMYFUNCTION("""COMPUTED_VALUE"""),"SUB")</f>
        <v>SUB</v>
      </c>
      <c r="K1" t="str">
        <f>IFERROR(__xludf.DUMMYFUNCTION("""COMPUTED_VALUE"""),"FOGLIO")</f>
        <v>FOGLIO</v>
      </c>
      <c r="L1" t="str">
        <f>IFERROR(__xludf.DUMMYFUNCTION("""COMPUTED_VALUE"""),"CODICE FISCALE")</f>
        <v>CODICE FISCALE</v>
      </c>
      <c r="M1" t="str">
        <f>IFERROR(__xludf.DUMMYFUNCTION("""COMPUTED_VALUE"""),"POSTI LETTO")</f>
        <v>POSTI LETTO</v>
      </c>
      <c r="N1" t="str">
        <f>IFERROR(__xludf.DUMMYFUNCTION("""COMPUTED_VALUE"""),"DATA INIZIO ATTIVITA'")</f>
        <v>DATA INIZIO ATTIVITA'</v>
      </c>
      <c r="O1" t="str">
        <f>IFERROR(__xludf.DUMMYFUNCTION("""COMPUTED_VALUE"""),"")</f>
        <v/>
      </c>
    </row>
    <row r="2">
      <c r="A2">
        <f>IFERROR(__xludf.DUMMYFUNCTION("""COMPUTED_VALUE"""),40.6662447582697)</f>
        <v>40.66624476</v>
      </c>
      <c r="B2">
        <f>IFERROR(__xludf.DUMMYFUNCTION("""COMPUTED_VALUE"""),16.6076427923676)</f>
        <v>16.60764279</v>
      </c>
      <c r="C2" t="str">
        <f>IFERROR(__xludf.DUMMYFUNCTION("""COMPUTED_VALUE"""),"Casa Vacanza")</f>
        <v>Casa Vacanza</v>
      </c>
      <c r="D2" t="str">
        <f>IFERROR(__xludf.DUMMYFUNCTION("""COMPUTED_VALUE""")," SOGNANDO MATERA")</f>
        <v> SOGNANDO MATERA</v>
      </c>
      <c r="E2" t="str">
        <f>IFERROR(__xludf.DUMMYFUNCTION("""COMPUTED_VALUE"""),"SOGNANDO MATERA SRL")</f>
        <v>SOGNANDO MATERA SRL</v>
      </c>
      <c r="F2" t="str">
        <f>IFERROR(__xludf.DUMMYFUNCTION("""COMPUTED_VALUE"""),"VICO SAN GIUSEPPE 13")</f>
        <v>VICO SAN GIUSEPPE 13</v>
      </c>
      <c r="G2" t="str">
        <f>IFERROR(__xludf.DUMMYFUNCTION("""COMPUTED_VALUE"""),"Matera")</f>
        <v>Matera</v>
      </c>
      <c r="H2" t="str">
        <f>IFERROR(__xludf.DUMMYFUNCTION("""COMPUTED_VALUE"""),"Italy")</f>
        <v>Italy</v>
      </c>
      <c r="I2">
        <f>IFERROR(__xludf.DUMMYFUNCTION("""COMPUTED_VALUE"""),664.0)</f>
        <v>664</v>
      </c>
      <c r="J2">
        <f>IFERROR(__xludf.DUMMYFUNCTION("""COMPUTED_VALUE"""),7.0)</f>
        <v>7</v>
      </c>
      <c r="K2">
        <f>IFERROR(__xludf.DUMMYFUNCTION("""COMPUTED_VALUE"""),159.0)</f>
        <v>159</v>
      </c>
      <c r="L2">
        <f>IFERROR(__xludf.DUMMYFUNCTION("""COMPUTED_VALUE"""),1.314120773E9)</f>
        <v>1314120773</v>
      </c>
      <c r="M2">
        <f>IFERROR(__xludf.DUMMYFUNCTION("""COMPUTED_VALUE"""),4.0)</f>
        <v>4</v>
      </c>
      <c r="N2">
        <f>IFERROR(__xludf.DUMMYFUNCTION("""COMPUTED_VALUE"""),42872.0)</f>
        <v>42872</v>
      </c>
      <c r="O2" t="str">
        <f>IFERROR(__xludf.DUMMYFUNCTION("""COMPUTED_VALUE"""),"")</f>
        <v/>
      </c>
    </row>
    <row r="3">
      <c r="A3">
        <f>IFERROR(__xludf.DUMMYFUNCTION("""COMPUTED_VALUE"""),40.667962)</f>
        <v>40.667962</v>
      </c>
      <c r="B3">
        <f>IFERROR(__xludf.DUMMYFUNCTION("""COMPUTED_VALUE"""),16.6035555)</f>
        <v>16.6035555</v>
      </c>
      <c r="C3" t="str">
        <f>IFERROR(__xludf.DUMMYFUNCTION("""COMPUTED_VALUE"""),"Casa vacanza")</f>
        <v>Casa vacanza</v>
      </c>
      <c r="D3" t="str">
        <f>IFERROR(__xludf.DUMMYFUNCTION("""COMPUTED_VALUE"""),"…IN CENTRO CASA VACANZA")</f>
        <v>…IN CENTRO CASA VACANZA</v>
      </c>
      <c r="E3" t="str">
        <f>IFERROR(__xludf.DUMMYFUNCTION("""COMPUTED_VALUE"""),"TORTORELLI MARIA PIA GIUSEPPA")</f>
        <v>TORTORELLI MARIA PIA GIUSEPPA</v>
      </c>
      <c r="F3" t="str">
        <f>IFERROR(__xludf.DUMMYFUNCTION("""COMPUTED_VALUE"""),"VIA SPINE BIANCHE")</f>
        <v>VIA SPINE BIANCHE</v>
      </c>
      <c r="G3" t="str">
        <f>IFERROR(__xludf.DUMMYFUNCTION("""COMPUTED_VALUE"""),"Matera")</f>
        <v>Matera</v>
      </c>
      <c r="H3" t="str">
        <f>IFERROR(__xludf.DUMMYFUNCTION("""COMPUTED_VALUE"""),"Italy")</f>
        <v>Italy</v>
      </c>
      <c r="I3">
        <f>IFERROR(__xludf.DUMMYFUNCTION("""COMPUTED_VALUE"""),3782.0)</f>
        <v>3782</v>
      </c>
      <c r="J3">
        <f>IFERROR(__xludf.DUMMYFUNCTION("""COMPUTED_VALUE"""),15.0)</f>
        <v>15</v>
      </c>
      <c r="K3">
        <f>IFERROR(__xludf.DUMMYFUNCTION("""COMPUTED_VALUE"""),159.0)</f>
        <v>159</v>
      </c>
      <c r="L3" t="str">
        <f>IFERROR(__xludf.DUMMYFUNCTION("""COMPUTED_VALUE"""),"TRTMPG64B58F052V")</f>
        <v>TRTMPG64B58F052V</v>
      </c>
      <c r="M3">
        <f>IFERROR(__xludf.DUMMYFUNCTION("""COMPUTED_VALUE"""),4.0)</f>
        <v>4</v>
      </c>
      <c r="N3">
        <f>IFERROR(__xludf.DUMMYFUNCTION("""COMPUTED_VALUE"""),42543.0)</f>
        <v>42543</v>
      </c>
      <c r="O3" t="str">
        <f>IFERROR(__xludf.DUMMYFUNCTION("""COMPUTED_VALUE"""),"")</f>
        <v/>
      </c>
    </row>
    <row r="4">
      <c r="A4">
        <f>IFERROR(__xludf.DUMMYFUNCTION("""COMPUTED_VALUE"""),40.6742311)</f>
        <v>40.6742311</v>
      </c>
      <c r="B4">
        <f>IFERROR(__xludf.DUMMYFUNCTION("""COMPUTED_VALUE"""),16.5985928)</f>
        <v>16.5985928</v>
      </c>
      <c r="C4" t="str">
        <f>IFERROR(__xludf.DUMMYFUNCTION("""COMPUTED_VALUE"""),"Casa Vacanza")</f>
        <v>Casa Vacanza</v>
      </c>
      <c r="D4" t="str">
        <f>IFERROR(__xludf.DUMMYFUNCTION("""COMPUTED_VALUE"""),"1955 RESIDENCE")</f>
        <v>1955 RESIDENCE</v>
      </c>
      <c r="E4" t="str">
        <f>IFERROR(__xludf.DUMMYFUNCTION("""COMPUTED_VALUE"""),"ANGELO SCHIUMA")</f>
        <v>ANGELO SCHIUMA</v>
      </c>
      <c r="F4" t="str">
        <f>IFERROR(__xludf.DUMMYFUNCTION("""COMPUTED_VALUE"""),"VIA NAZIONALE 89/A")</f>
        <v>VIA NAZIONALE 89/A</v>
      </c>
      <c r="G4" t="str">
        <f>IFERROR(__xludf.DUMMYFUNCTION("""COMPUTED_VALUE"""),"Matera")</f>
        <v>Matera</v>
      </c>
      <c r="H4" t="str">
        <f>IFERROR(__xludf.DUMMYFUNCTION("""COMPUTED_VALUE"""),"Italy")</f>
        <v>Italy</v>
      </c>
      <c r="I4">
        <f>IFERROR(__xludf.DUMMYFUNCTION("""COMPUTED_VALUE"""),593.0)</f>
        <v>593</v>
      </c>
      <c r="J4">
        <f>IFERROR(__xludf.DUMMYFUNCTION("""COMPUTED_VALUE"""),62.0)</f>
        <v>62</v>
      </c>
      <c r="K4">
        <f>IFERROR(__xludf.DUMMYFUNCTION("""COMPUTED_VALUE"""),69.0)</f>
        <v>69</v>
      </c>
      <c r="L4" t="str">
        <f>IFERROR(__xludf.DUMMYFUNCTION("""COMPUTED_VALUE"""),"SCHGL92M03F052E")</f>
        <v>SCHGL92M03F052E</v>
      </c>
      <c r="M4">
        <f>IFERROR(__xludf.DUMMYFUNCTION("""COMPUTED_VALUE"""),4.0)</f>
        <v>4</v>
      </c>
      <c r="N4">
        <f>IFERROR(__xludf.DUMMYFUNCTION("""COMPUTED_VALUE"""),42626.0)</f>
        <v>42626</v>
      </c>
      <c r="O4" t="str">
        <f>IFERROR(__xludf.DUMMYFUNCTION("""COMPUTED_VALUE"""),"")</f>
        <v/>
      </c>
    </row>
    <row r="5">
      <c r="A5">
        <f>IFERROR(__xludf.DUMMYFUNCTION("""COMPUTED_VALUE"""),40.6602956)</f>
        <v>40.6602956</v>
      </c>
      <c r="B5">
        <f>IFERROR(__xludf.DUMMYFUNCTION("""COMPUTED_VALUE"""),16.6090475)</f>
        <v>16.6090475</v>
      </c>
      <c r="C5" t="str">
        <f>IFERROR(__xludf.DUMMYFUNCTION("""COMPUTED_VALUE"""),"Casa Vacanza")</f>
        <v>Casa Vacanza</v>
      </c>
      <c r="D5" t="str">
        <f>IFERROR(__xludf.DUMMYFUNCTION("""COMPUTED_VALUE"""),"A CASA DI DEVA")</f>
        <v>A CASA DI DEVA</v>
      </c>
      <c r="E5" t="str">
        <f>IFERROR(__xludf.DUMMYFUNCTION("""COMPUTED_VALUE"""),"CORETTI NUNZIA ANNA")</f>
        <v>CORETTI NUNZIA ANNA</v>
      </c>
      <c r="F5" t="str">
        <f>IFERROR(__xludf.DUMMYFUNCTION("""COMPUTED_VALUE"""),"VIA DON MILANI 6")</f>
        <v>VIA DON MILANI 6</v>
      </c>
      <c r="G5" t="str">
        <f>IFERROR(__xludf.DUMMYFUNCTION("""COMPUTED_VALUE"""),"Matera")</f>
        <v>Matera</v>
      </c>
      <c r="H5" t="str">
        <f>IFERROR(__xludf.DUMMYFUNCTION("""COMPUTED_VALUE"""),"Italy")</f>
        <v>Italy</v>
      </c>
      <c r="I5">
        <f>IFERROR(__xludf.DUMMYFUNCTION("""COMPUTED_VALUE"""),636.0)</f>
        <v>636</v>
      </c>
      <c r="J5">
        <f>IFERROR(__xludf.DUMMYFUNCTION("""COMPUTED_VALUE"""),16.0)</f>
        <v>16</v>
      </c>
      <c r="K5">
        <f>IFERROR(__xludf.DUMMYFUNCTION("""COMPUTED_VALUE"""),103.0)</f>
        <v>103</v>
      </c>
      <c r="L5" t="str">
        <f>IFERROR(__xludf.DUMMYFUNCTION("""COMPUTED_VALUE"""),"CRTNZN64B64F052F")</f>
        <v>CRTNZN64B64F052F</v>
      </c>
      <c r="M5">
        <f>IFERROR(__xludf.DUMMYFUNCTION("""COMPUTED_VALUE"""),2.0)</f>
        <v>2</v>
      </c>
      <c r="N5">
        <f>IFERROR(__xludf.DUMMYFUNCTION("""COMPUTED_VALUE"""),42112.0)</f>
        <v>42112</v>
      </c>
      <c r="O5" t="str">
        <f>IFERROR(__xludf.DUMMYFUNCTION("""COMPUTED_VALUE"""),"")</f>
        <v/>
      </c>
    </row>
    <row r="6">
      <c r="A6">
        <f>IFERROR(__xludf.DUMMYFUNCTION("""COMPUTED_VALUE"""),40.6639544)</f>
        <v>40.6639544</v>
      </c>
      <c r="B6">
        <f>IFERROR(__xludf.DUMMYFUNCTION("""COMPUTED_VALUE"""),16.6111861)</f>
        <v>16.6111861</v>
      </c>
      <c r="C6" t="str">
        <f>IFERROR(__xludf.DUMMYFUNCTION("""COMPUTED_VALUE"""),"Casa Vacanza")</f>
        <v>Casa Vacanza</v>
      </c>
      <c r="D6" t="str">
        <f>IFERROR(__xludf.DUMMYFUNCTION("""COMPUTED_VALUE"""),"A CASA DI IRENE")</f>
        <v>A CASA DI IRENE</v>
      </c>
      <c r="E6" t="str">
        <f>IFERROR(__xludf.DUMMYFUNCTION("""COMPUTED_VALUE"""),"PAOLICELLI CHIARA MARIA")</f>
        <v>PAOLICELLI CHIARA MARIA</v>
      </c>
      <c r="F6" t="str">
        <f>IFERROR(__xludf.DUMMYFUNCTION("""COMPUTED_VALUE"""),"VIA BRUNO BUOZZI 60")</f>
        <v>VIA BRUNO BUOZZI 60</v>
      </c>
      <c r="G6" t="str">
        <f>IFERROR(__xludf.DUMMYFUNCTION("""COMPUTED_VALUE"""),"Matera")</f>
        <v>Matera</v>
      </c>
      <c r="H6" t="str">
        <f>IFERROR(__xludf.DUMMYFUNCTION("""COMPUTED_VALUE"""),"Italy")</f>
        <v>Italy</v>
      </c>
      <c r="I6">
        <f>IFERROR(__xludf.DUMMYFUNCTION("""COMPUTED_VALUE"""),2262.0)</f>
        <v>2262</v>
      </c>
      <c r="J6">
        <f>IFERROR(__xludf.DUMMYFUNCTION("""COMPUTED_VALUE"""),2.0)</f>
        <v>2</v>
      </c>
      <c r="K6">
        <f>IFERROR(__xludf.DUMMYFUNCTION("""COMPUTED_VALUE"""),159.0)</f>
        <v>159</v>
      </c>
      <c r="L6" t="str">
        <f>IFERROR(__xludf.DUMMYFUNCTION("""COMPUTED_VALUE"""),"PLCCRM53M56F052H")</f>
        <v>PLCCRM53M56F052H</v>
      </c>
      <c r="M6">
        <f>IFERROR(__xludf.DUMMYFUNCTION("""COMPUTED_VALUE"""),4.0)</f>
        <v>4</v>
      </c>
      <c r="N6">
        <f>IFERROR(__xludf.DUMMYFUNCTION("""COMPUTED_VALUE"""),42121.0)</f>
        <v>42121</v>
      </c>
      <c r="O6" t="str">
        <f>IFERROR(__xludf.DUMMYFUNCTION("""COMPUTED_VALUE"""),"")</f>
        <v/>
      </c>
    </row>
    <row r="7">
      <c r="A7">
        <f>IFERROR(__xludf.DUMMYFUNCTION("""COMPUTED_VALUE"""),40.6678904)</f>
        <v>40.6678904</v>
      </c>
      <c r="B7">
        <f>IFERROR(__xludf.DUMMYFUNCTION("""COMPUTED_VALUE"""),16.6016855)</f>
        <v>16.6016855</v>
      </c>
      <c r="C7" t="str">
        <f>IFERROR(__xludf.DUMMYFUNCTION("""COMPUTED_VALUE"""),"Casa Vacanza")</f>
        <v>Casa Vacanza</v>
      </c>
      <c r="D7" t="str">
        <f>IFERROR(__xludf.DUMMYFUNCTION("""COMPUTED_VALUE"""),"A CASA DI NONNA")</f>
        <v>A CASA DI NONNA</v>
      </c>
      <c r="E7" t="str">
        <f>IFERROR(__xludf.DUMMYFUNCTION("""COMPUTED_VALUE"""),"DIMICHINO FLORELLA")</f>
        <v>DIMICHINO FLORELLA</v>
      </c>
      <c r="F7" t="str">
        <f>IFERROR(__xludf.DUMMYFUNCTION("""COMPUTED_VALUE"""),"VIA M. TORRACA 24")</f>
        <v>VIA M. TORRACA 24</v>
      </c>
      <c r="G7" t="str">
        <f>IFERROR(__xludf.DUMMYFUNCTION("""COMPUTED_VALUE"""),"Matera")</f>
        <v>Matera</v>
      </c>
      <c r="H7" t="str">
        <f>IFERROR(__xludf.DUMMYFUNCTION("""COMPUTED_VALUE"""),"Italy")</f>
        <v>Italy</v>
      </c>
      <c r="I7">
        <f>IFERROR(__xludf.DUMMYFUNCTION("""COMPUTED_VALUE"""),249.0)</f>
        <v>249</v>
      </c>
      <c r="J7">
        <f>IFERROR(__xludf.DUMMYFUNCTION("""COMPUTED_VALUE"""),5.0)</f>
        <v>5</v>
      </c>
      <c r="K7">
        <f>IFERROR(__xludf.DUMMYFUNCTION("""COMPUTED_VALUE"""),71.0)</f>
        <v>71</v>
      </c>
      <c r="L7" t="str">
        <f>IFERROR(__xludf.DUMMYFUNCTION("""COMPUTED_VALUE"""),"DMCFRL85S70F052E")</f>
        <v>DMCFRL85S70F052E</v>
      </c>
      <c r="M7">
        <f>IFERROR(__xludf.DUMMYFUNCTION("""COMPUTED_VALUE"""),4.0)</f>
        <v>4</v>
      </c>
      <c r="N7">
        <f>IFERROR(__xludf.DUMMYFUNCTION("""COMPUTED_VALUE"""),42908.0)</f>
        <v>42908</v>
      </c>
      <c r="O7">
        <f>IFERROR(__xludf.DUMMYFUNCTION("""COMPUTED_VALUE"""),1710.0)</f>
        <v>1710</v>
      </c>
    </row>
    <row r="8">
      <c r="A8">
        <f>IFERROR(__xludf.DUMMYFUNCTION("""COMPUTED_VALUE"""),40.6713794160244)</f>
        <v>40.67137942</v>
      </c>
      <c r="B8">
        <f>IFERROR(__xludf.DUMMYFUNCTION("""COMPUTED_VALUE"""),16.606237747698)</f>
        <v>16.60623775</v>
      </c>
      <c r="C8" t="str">
        <f>IFERROR(__xludf.DUMMYFUNCTION("""COMPUTED_VALUE"""),"Casa Vacanza")</f>
        <v>Casa Vacanza</v>
      </c>
      <c r="D8" t="str">
        <f>IFERROR(__xludf.DUMMYFUNCTION("""COMPUTED_VALUE"""),"A CASA DI ROMEO")</f>
        <v>A CASA DI ROMEO</v>
      </c>
      <c r="E8" t="str">
        <f>IFERROR(__xludf.DUMMYFUNCTION("""COMPUTED_VALUE"""),"MANICONE MICHELA")</f>
        <v>MANICONE MICHELA</v>
      </c>
      <c r="F8" t="str">
        <f>IFERROR(__xludf.DUMMYFUNCTION("""COMPUTED_VALUE"""),"VIA F.LLI ROSSELLI 66  piano terra")</f>
        <v>VIA F.LLI ROSSELLI 66  piano terra</v>
      </c>
      <c r="G8" t="str">
        <f>IFERROR(__xludf.DUMMYFUNCTION("""COMPUTED_VALUE"""),"Matera")</f>
        <v>Matera</v>
      </c>
      <c r="H8" t="str">
        <f>IFERROR(__xludf.DUMMYFUNCTION("""COMPUTED_VALUE"""),"Italy")</f>
        <v>Italy</v>
      </c>
      <c r="I8">
        <f>IFERROR(__xludf.DUMMYFUNCTION("""COMPUTED_VALUE"""),3664.0)</f>
        <v>3664</v>
      </c>
      <c r="J8">
        <f>IFERROR(__xludf.DUMMYFUNCTION("""COMPUTED_VALUE"""),39.0)</f>
        <v>39</v>
      </c>
      <c r="K8">
        <f>IFERROR(__xludf.DUMMYFUNCTION("""COMPUTED_VALUE"""),159.0)</f>
        <v>159</v>
      </c>
      <c r="L8" t="str">
        <f>IFERROR(__xludf.DUMMYFUNCTION("""COMPUTED_VALUE"""),"MNCMHL82B53A225Z")</f>
        <v>MNCMHL82B53A225Z</v>
      </c>
      <c r="M8">
        <f>IFERROR(__xludf.DUMMYFUNCTION("""COMPUTED_VALUE"""),2.0)</f>
        <v>2</v>
      </c>
      <c r="N8">
        <f>IFERROR(__xludf.DUMMYFUNCTION("""COMPUTED_VALUE"""),42919.0)</f>
        <v>42919</v>
      </c>
      <c r="O8">
        <f>IFERROR(__xludf.DUMMYFUNCTION("""COMPUTED_VALUE"""),1916.0)</f>
        <v>1916</v>
      </c>
    </row>
    <row r="9">
      <c r="A9">
        <f>IFERROR(__xludf.DUMMYFUNCTION("""COMPUTED_VALUE"""),40.6622029)</f>
        <v>40.6622029</v>
      </c>
      <c r="B9">
        <f>IFERROR(__xludf.DUMMYFUNCTION("""COMPUTED_VALUE"""),16.610801)</f>
        <v>16.610801</v>
      </c>
      <c r="C9" t="str">
        <f>IFERROR(__xludf.DUMMYFUNCTION("""COMPUTED_VALUE"""),"Casa Vacanza")</f>
        <v>Casa Vacanza</v>
      </c>
      <c r="D9" t="str">
        <f>IFERROR(__xludf.DUMMYFUNCTION("""COMPUTED_VALUE"""),"A CASA DI ROSA")</f>
        <v>A CASA DI ROSA</v>
      </c>
      <c r="E9" t="str">
        <f>IFERROR(__xludf.DUMMYFUNCTION("""COMPUTED_VALUE"""),"RONDINONE ANNUNZIATA")</f>
        <v>RONDINONE ANNUNZIATA</v>
      </c>
      <c r="F9" t="str">
        <f>IFERROR(__xludf.DUMMYFUNCTION("""COMPUTED_VALUE"""),"VICO LUCANA 8")</f>
        <v>VICO LUCANA 8</v>
      </c>
      <c r="G9" t="str">
        <f>IFERROR(__xludf.DUMMYFUNCTION("""COMPUTED_VALUE"""),"Matera")</f>
        <v>Matera</v>
      </c>
      <c r="H9" t="str">
        <f>IFERROR(__xludf.DUMMYFUNCTION("""COMPUTED_VALUE"""),"Italy")</f>
        <v>Italy</v>
      </c>
      <c r="I9">
        <f>IFERROR(__xludf.DUMMYFUNCTION("""COMPUTED_VALUE"""),4004.0)</f>
        <v>4004</v>
      </c>
      <c r="J9">
        <f>IFERROR(__xludf.DUMMYFUNCTION("""COMPUTED_VALUE"""),32.0)</f>
        <v>32</v>
      </c>
      <c r="K9">
        <f>IFERROR(__xludf.DUMMYFUNCTION("""COMPUTED_VALUE"""),159.0)</f>
        <v>159</v>
      </c>
      <c r="L9" t="str">
        <f>IFERROR(__xludf.DUMMYFUNCTION("""COMPUTED_VALUE"""),"RNDNNZ55S59F052C")</f>
        <v>RNDNNZ55S59F052C</v>
      </c>
      <c r="M9">
        <f>IFERROR(__xludf.DUMMYFUNCTION("""COMPUTED_VALUE"""),3.0)</f>
        <v>3</v>
      </c>
      <c r="N9">
        <f>IFERROR(__xludf.DUMMYFUNCTION("""COMPUTED_VALUE"""),42209.0)</f>
        <v>42209</v>
      </c>
      <c r="O9">
        <f>IFERROR(__xludf.DUMMYFUNCTION("""COMPUTED_VALUE"""),1804.0)</f>
        <v>1804</v>
      </c>
    </row>
    <row r="10">
      <c r="A10">
        <f>IFERROR(__xludf.DUMMYFUNCTION("""COMPUTED_VALUE"""),40.675572)</f>
        <v>40.675572</v>
      </c>
      <c r="B10">
        <f>IFERROR(__xludf.DUMMYFUNCTION("""COMPUTED_VALUE"""),16.599637)</f>
        <v>16.599637</v>
      </c>
      <c r="C10" t="str">
        <f>IFERROR(__xludf.DUMMYFUNCTION("""COMPUTED_VALUE"""),"Casa Vacanza")</f>
        <v>Casa Vacanza</v>
      </c>
      <c r="D10" t="str">
        <f>IFERROR(__xludf.DUMMYFUNCTION("""COMPUTED_VALUE"""),"A DUE PASSI DAI SASSI")</f>
        <v>A DUE PASSI DAI SASSI</v>
      </c>
      <c r="E10" t="str">
        <f>IFERROR(__xludf.DUMMYFUNCTION("""COMPUTED_VALUE"""),"ROMANO ANTONIETTA")</f>
        <v>ROMANO ANTONIETTA</v>
      </c>
      <c r="F10" t="str">
        <f>IFERROR(__xludf.DUMMYFUNCTION("""COMPUTED_VALUE"""),"VIA GUGLIEMO MARCONI 14")</f>
        <v>VIA GUGLIEMO MARCONI 14</v>
      </c>
      <c r="G10" t="str">
        <f>IFERROR(__xludf.DUMMYFUNCTION("""COMPUTED_VALUE"""),"Matera")</f>
        <v>Matera</v>
      </c>
      <c r="H10" t="str">
        <f>IFERROR(__xludf.DUMMYFUNCTION("""COMPUTED_VALUE"""),"Italy")</f>
        <v>Italy</v>
      </c>
      <c r="I10">
        <f>IFERROR(__xludf.DUMMYFUNCTION("""COMPUTED_VALUE"""),4835.0)</f>
        <v>4835</v>
      </c>
      <c r="J10">
        <f>IFERROR(__xludf.DUMMYFUNCTION("""COMPUTED_VALUE"""),5.0)</f>
        <v>5</v>
      </c>
      <c r="K10">
        <f>IFERROR(__xludf.DUMMYFUNCTION("""COMPUTED_VALUE"""),159.0)</f>
        <v>159</v>
      </c>
      <c r="L10" t="str">
        <f>IFERROR(__xludf.DUMMYFUNCTION("""COMPUTED_VALUE"""),"RMNNNT71C56F052V")</f>
        <v>RMNNNT71C56F052V</v>
      </c>
      <c r="M10">
        <f>IFERROR(__xludf.DUMMYFUNCTION("""COMPUTED_VALUE"""),4.0)</f>
        <v>4</v>
      </c>
      <c r="N10">
        <f>IFERROR(__xludf.DUMMYFUNCTION("""COMPUTED_VALUE"""),42471.0)</f>
        <v>42471</v>
      </c>
      <c r="O10" t="str">
        <f>IFERROR(__xludf.DUMMYFUNCTION("""COMPUTED_VALUE"""),"")</f>
        <v/>
      </c>
    </row>
    <row r="11">
      <c r="A11">
        <f>IFERROR(__xludf.DUMMYFUNCTION("""COMPUTED_VALUE"""),40.6601464)</f>
        <v>40.6601464</v>
      </c>
      <c r="B11">
        <f>IFERROR(__xludf.DUMMYFUNCTION("""COMPUTED_VALUE"""),16.6107644)</f>
        <v>16.6107644</v>
      </c>
      <c r="C11" t="str">
        <f>IFERROR(__xludf.DUMMYFUNCTION("""COMPUTED_VALUE"""),"Casa Vacanza")</f>
        <v>Casa Vacanza</v>
      </c>
      <c r="D11" t="str">
        <f>IFERROR(__xludf.DUMMYFUNCTION("""COMPUTED_VALUE"""),"A MATERA CASA VACANZA")</f>
        <v>A MATERA CASA VACANZA</v>
      </c>
      <c r="E11" t="str">
        <f>IFERROR(__xludf.DUMMYFUNCTION("""COMPUTED_VALUE"""),"CILLIS RITA")</f>
        <v>CILLIS RITA</v>
      </c>
      <c r="F11" t="str">
        <f>IFERROR(__xludf.DUMMYFUNCTION("""COMPUTED_VALUE"""),"VIA G. FORTUNATO 6")</f>
        <v>VIA G. FORTUNATO 6</v>
      </c>
      <c r="G11" t="str">
        <f>IFERROR(__xludf.DUMMYFUNCTION("""COMPUTED_VALUE"""),"Matera")</f>
        <v>Matera</v>
      </c>
      <c r="H11" t="str">
        <f>IFERROR(__xludf.DUMMYFUNCTION("""COMPUTED_VALUE"""),"Italy")</f>
        <v>Italy</v>
      </c>
      <c r="I11">
        <f>IFERROR(__xludf.DUMMYFUNCTION("""COMPUTED_VALUE"""),239.0)</f>
        <v>239</v>
      </c>
      <c r="J11">
        <f>IFERROR(__xludf.DUMMYFUNCTION("""COMPUTED_VALUE"""),5.0)</f>
        <v>5</v>
      </c>
      <c r="K11">
        <f>IFERROR(__xludf.DUMMYFUNCTION("""COMPUTED_VALUE"""),103.0)</f>
        <v>103</v>
      </c>
      <c r="L11" t="str">
        <f>IFERROR(__xludf.DUMMYFUNCTION("""COMPUTED_VALUE"""),"CLLRTI61A44I907F")</f>
        <v>CLLRTI61A44I907F</v>
      </c>
      <c r="M11">
        <f>IFERROR(__xludf.DUMMYFUNCTION("""COMPUTED_VALUE"""),4.0)</f>
        <v>4</v>
      </c>
      <c r="N11">
        <f>IFERROR(__xludf.DUMMYFUNCTION("""COMPUTED_VALUE"""),42537.0)</f>
        <v>42537</v>
      </c>
      <c r="O11" t="str">
        <f>IFERROR(__xludf.DUMMYFUNCTION("""COMPUTED_VALUE"""),"")</f>
        <v/>
      </c>
    </row>
    <row r="12">
      <c r="A12">
        <f>IFERROR(__xludf.DUMMYFUNCTION("""COMPUTED_VALUE"""),40.6605936377775)</f>
        <v>40.66059364</v>
      </c>
      <c r="B12">
        <f>IFERROR(__xludf.DUMMYFUNCTION("""COMPUTED_VALUE"""),16.613502690479)</f>
        <v>16.61350269</v>
      </c>
      <c r="C12" t="str">
        <f>IFERROR(__xludf.DUMMYFUNCTION("""COMPUTED_VALUE"""),"Casa Vacanza")</f>
        <v>Casa Vacanza</v>
      </c>
      <c r="D12" t="str">
        <f>IFERROR(__xludf.DUMMYFUNCTION("""COMPUTED_VALUE"""),"A VISTA SUI SASSI")</f>
        <v>A VISTA SUI SASSI</v>
      </c>
      <c r="E12" t="str">
        <f>IFERROR(__xludf.DUMMYFUNCTION("""COMPUTED_VALUE"""),"AFFARE FATTO  SRLS")</f>
        <v>AFFARE FATTO  SRLS</v>
      </c>
      <c r="F12" t="str">
        <f>IFERROR(__xludf.DUMMYFUNCTION("""COMPUTED_VALUE"""),"RECINTO SESTO LUCANA 1")</f>
        <v>RECINTO SESTO LUCANA 1</v>
      </c>
      <c r="G12" t="str">
        <f>IFERROR(__xludf.DUMMYFUNCTION("""COMPUTED_VALUE"""),"Matera")</f>
        <v>Matera</v>
      </c>
      <c r="H12" t="str">
        <f>IFERROR(__xludf.DUMMYFUNCTION("""COMPUTED_VALUE"""),"Italy")</f>
        <v>Italy</v>
      </c>
      <c r="I12">
        <f>IFERROR(__xludf.DUMMYFUNCTION("""COMPUTED_VALUE"""),3488.0)</f>
        <v>3488</v>
      </c>
      <c r="J12">
        <f>IFERROR(__xludf.DUMMYFUNCTION("""COMPUTED_VALUE"""),5.0)</f>
        <v>5</v>
      </c>
      <c r="K12">
        <f>IFERROR(__xludf.DUMMYFUNCTION("""COMPUTED_VALUE"""),159.0)</f>
        <v>159</v>
      </c>
      <c r="L12">
        <f>IFERROR(__xludf.DUMMYFUNCTION("""COMPUTED_VALUE"""),1.279980773E9)</f>
        <v>1279980773</v>
      </c>
      <c r="M12">
        <f>IFERROR(__xludf.DUMMYFUNCTION("""COMPUTED_VALUE"""),4.0)</f>
        <v>4</v>
      </c>
      <c r="N12">
        <f>IFERROR(__xludf.DUMMYFUNCTION("""COMPUTED_VALUE"""),43300.0)</f>
        <v>43300</v>
      </c>
      <c r="O12" t="str">
        <f>IFERROR(__xludf.DUMMYFUNCTION("""COMPUTED_VALUE"""),"")</f>
        <v/>
      </c>
    </row>
    <row r="13">
      <c r="A13">
        <f>IFERROR(__xludf.DUMMYFUNCTION("""COMPUTED_VALUE"""),40.6651906)</f>
        <v>40.6651906</v>
      </c>
      <c r="B13">
        <f>IFERROR(__xludf.DUMMYFUNCTION("""COMPUTED_VALUE"""),16.6119451)</f>
        <v>16.6119451</v>
      </c>
      <c r="C13" t="str">
        <f>IFERROR(__xludf.DUMMYFUNCTION("""COMPUTED_VALUE"""),"Casa Vacanza")</f>
        <v>Casa Vacanza</v>
      </c>
      <c r="D13" t="str">
        <f>IFERROR(__xludf.DUMMYFUNCTION("""COMPUTED_VALUE"""),"AGORA' NEI SASSI")</f>
        <v>AGORA' NEI SASSI</v>
      </c>
      <c r="E13" t="str">
        <f>IFERROR(__xludf.DUMMYFUNCTION("""COMPUTED_VALUE"""),"CORLETO VINCENZO DOMENICO")</f>
        <v>CORLETO VINCENZO DOMENICO</v>
      </c>
      <c r="F13" t="str">
        <f>IFERROR(__xludf.DUMMYFUNCTION("""COMPUTED_VALUE"""),"VIA SANT'ANGELO  28/29")</f>
        <v>VIA SANT'ANGELO  28/29</v>
      </c>
      <c r="G13" t="str">
        <f>IFERROR(__xludf.DUMMYFUNCTION("""COMPUTED_VALUE"""),"Matera")</f>
        <v>Matera</v>
      </c>
      <c r="H13" t="str">
        <f>IFERROR(__xludf.DUMMYFUNCTION("""COMPUTED_VALUE"""),"Italy")</f>
        <v>Italy</v>
      </c>
      <c r="I13">
        <f>IFERROR(__xludf.DUMMYFUNCTION("""COMPUTED_VALUE"""),1626.0)</f>
        <v>1626</v>
      </c>
      <c r="J13">
        <f>IFERROR(__xludf.DUMMYFUNCTION("""COMPUTED_VALUE"""),1.0)</f>
        <v>1</v>
      </c>
      <c r="K13">
        <f>IFERROR(__xludf.DUMMYFUNCTION("""COMPUTED_VALUE"""),159.0)</f>
        <v>159</v>
      </c>
      <c r="L13" t="str">
        <f>IFERROR(__xludf.DUMMYFUNCTION("""COMPUTED_VALUE"""),"CRLVCN78L10G786M")</f>
        <v>CRLVCN78L10G786M</v>
      </c>
      <c r="M13">
        <f>IFERROR(__xludf.DUMMYFUNCTION("""COMPUTED_VALUE"""),8.0)</f>
        <v>8</v>
      </c>
      <c r="N13">
        <f>IFERROR(__xludf.DUMMYFUNCTION("""COMPUTED_VALUE"""),42828.0)</f>
        <v>42828</v>
      </c>
      <c r="O13" t="str">
        <f>IFERROR(__xludf.DUMMYFUNCTION("""COMPUTED_VALUE"""),"")</f>
        <v/>
      </c>
    </row>
    <row r="14">
      <c r="A14">
        <f>IFERROR(__xludf.DUMMYFUNCTION("""COMPUTED_VALUE"""),40.6678384)</f>
        <v>40.6678384</v>
      </c>
      <c r="B14">
        <f>IFERROR(__xludf.DUMMYFUNCTION("""COMPUTED_VALUE"""),16.6082168)</f>
        <v>16.6082168</v>
      </c>
      <c r="C14" t="str">
        <f>IFERROR(__xludf.DUMMYFUNCTION("""COMPUTED_VALUE"""),"Casa Vacanza")</f>
        <v>Casa Vacanza</v>
      </c>
      <c r="D14" t="str">
        <f>IFERROR(__xludf.DUMMYFUNCTION("""COMPUTED_VALUE"""),"AI FOGGIALI")</f>
        <v>AI FOGGIALI</v>
      </c>
      <c r="E14" t="str">
        <f>IFERROR(__xludf.DUMMYFUNCTION("""COMPUTED_VALUE"""),"MORELLI FRANCESCO")</f>
        <v>MORELLI FRANCESCO</v>
      </c>
      <c r="F14" t="str">
        <f>IFERROR(__xludf.DUMMYFUNCTION("""COMPUTED_VALUE"""),"VIA SAN BIAGIO 46")</f>
        <v>VIA SAN BIAGIO 46</v>
      </c>
      <c r="G14" t="str">
        <f>IFERROR(__xludf.DUMMYFUNCTION("""COMPUTED_VALUE"""),"Matera")</f>
        <v>Matera</v>
      </c>
      <c r="H14" t="str">
        <f>IFERROR(__xludf.DUMMYFUNCTION("""COMPUTED_VALUE"""),"Italy")</f>
        <v>Italy</v>
      </c>
      <c r="I14">
        <f>IFERROR(__xludf.DUMMYFUNCTION("""COMPUTED_VALUE"""),3883.0)</f>
        <v>3883</v>
      </c>
      <c r="J14">
        <f>IFERROR(__xludf.DUMMYFUNCTION("""COMPUTED_VALUE"""),1.0)</f>
        <v>1</v>
      </c>
      <c r="K14">
        <f>IFERROR(__xludf.DUMMYFUNCTION("""COMPUTED_VALUE"""),159.0)</f>
        <v>159</v>
      </c>
      <c r="L14" t="str">
        <f>IFERROR(__xludf.DUMMYFUNCTION("""COMPUTED_VALUE"""),"MRLFNC43C24F052G")</f>
        <v>MRLFNC43C24F052G</v>
      </c>
      <c r="M14">
        <f>IFERROR(__xludf.DUMMYFUNCTION("""COMPUTED_VALUE"""),4.0)</f>
        <v>4</v>
      </c>
      <c r="N14">
        <f>IFERROR(__xludf.DUMMYFUNCTION("""COMPUTED_VALUE"""),41627.0)</f>
        <v>41627</v>
      </c>
      <c r="O14" t="str">
        <f>IFERROR(__xludf.DUMMYFUNCTION("""COMPUTED_VALUE"""),"")</f>
        <v/>
      </c>
    </row>
    <row r="15">
      <c r="A15">
        <f>IFERROR(__xludf.DUMMYFUNCTION("""COMPUTED_VALUE"""),40.670716219625)</f>
        <v>40.67071622</v>
      </c>
      <c r="B15">
        <f>IFERROR(__xludf.DUMMYFUNCTION("""COMPUTED_VALUE"""),16.6058543087944)</f>
        <v>16.60585431</v>
      </c>
      <c r="C15" t="str">
        <f>IFERROR(__xludf.DUMMYFUNCTION("""COMPUTED_VALUE"""),"Casa Vacanza")</f>
        <v>Casa Vacanza</v>
      </c>
      <c r="D15" t="str">
        <f>IFERROR(__xludf.DUMMYFUNCTION("""COMPUTED_VALUE"""),"AI POETI")</f>
        <v>AI POETI</v>
      </c>
      <c r="E15" t="str">
        <f>IFERROR(__xludf.DUMMYFUNCTION("""COMPUTED_VALUE"""),"L&amp;L LA MODE SRL")</f>
        <v>L&amp;L LA MODE SRL</v>
      </c>
      <c r="F15" t="str">
        <f>IFERROR(__xludf.DUMMYFUNCTION("""COMPUTED_VALUE"""),"VIA FRATELLI ROSSELLI 61")</f>
        <v>VIA FRATELLI ROSSELLI 61</v>
      </c>
      <c r="G15" t="str">
        <f>IFERROR(__xludf.DUMMYFUNCTION("""COMPUTED_VALUE"""),"Matera")</f>
        <v>Matera</v>
      </c>
      <c r="H15" t="str">
        <f>IFERROR(__xludf.DUMMYFUNCTION("""COMPUTED_VALUE"""),"Italy")</f>
        <v>Italy</v>
      </c>
      <c r="I15">
        <f>IFERROR(__xludf.DUMMYFUNCTION("""COMPUTED_VALUE"""),3646.0)</f>
        <v>3646</v>
      </c>
      <c r="J15">
        <f>IFERROR(__xludf.DUMMYFUNCTION("""COMPUTED_VALUE"""),4.0)</f>
        <v>4</v>
      </c>
      <c r="K15">
        <f>IFERROR(__xludf.DUMMYFUNCTION("""COMPUTED_VALUE"""),159.0)</f>
        <v>159</v>
      </c>
      <c r="L15">
        <f>IFERROR(__xludf.DUMMYFUNCTION("""COMPUTED_VALUE"""),1.220740771E9)</f>
        <v>1220740771</v>
      </c>
      <c r="M15">
        <f>IFERROR(__xludf.DUMMYFUNCTION("""COMPUTED_VALUE"""),4.0)</f>
        <v>4</v>
      </c>
      <c r="N15">
        <f>IFERROR(__xludf.DUMMYFUNCTION("""COMPUTED_VALUE"""),43325.0)</f>
        <v>43325</v>
      </c>
      <c r="O15" t="str">
        <f>IFERROR(__xludf.DUMMYFUNCTION("""COMPUTED_VALUE"""),"")</f>
        <v/>
      </c>
    </row>
    <row r="16">
      <c r="A16">
        <f>IFERROR(__xludf.DUMMYFUNCTION("""COMPUTED_VALUE"""),40.6613551)</f>
        <v>40.6613551</v>
      </c>
      <c r="B16">
        <f>IFERROR(__xludf.DUMMYFUNCTION("""COMPUTED_VALUE"""),16.6122331)</f>
        <v>16.6122331</v>
      </c>
      <c r="C16" t="str">
        <f>IFERROR(__xludf.DUMMYFUNCTION("""COMPUTED_VALUE"""),"Casa Vacanza")</f>
        <v>Casa Vacanza</v>
      </c>
      <c r="D16" t="str">
        <f>IFERROR(__xludf.DUMMYFUNCTION("""COMPUTED_VALUE"""),"AI SASSI DI PIETRO")</f>
        <v>AI SASSI DI PIETRO</v>
      </c>
      <c r="E16" t="str">
        <f>IFERROR(__xludf.DUMMYFUNCTION("""COMPUTED_VALUE"""),"PLASMATI GIUSEPPE")</f>
        <v>PLASMATI GIUSEPPE</v>
      </c>
      <c r="F16" t="str">
        <f>IFERROR(__xludf.DUMMYFUNCTION("""COMPUTED_VALUE"""),"VICO 1° CASALNUOVO 45")</f>
        <v>VICO 1° CASALNUOVO 45</v>
      </c>
      <c r="G16" t="str">
        <f>IFERROR(__xludf.DUMMYFUNCTION("""COMPUTED_VALUE"""),"Matera")</f>
        <v>Matera</v>
      </c>
      <c r="H16" t="str">
        <f>IFERROR(__xludf.DUMMYFUNCTION("""COMPUTED_VALUE"""),"Italy")</f>
        <v>Italy</v>
      </c>
      <c r="I16">
        <f>IFERROR(__xludf.DUMMYFUNCTION("""COMPUTED_VALUE"""),956.0)</f>
        <v>956</v>
      </c>
      <c r="J16">
        <f>IFERROR(__xludf.DUMMYFUNCTION("""COMPUTED_VALUE"""),2.0)</f>
        <v>2</v>
      </c>
      <c r="K16">
        <f>IFERROR(__xludf.DUMMYFUNCTION("""COMPUTED_VALUE"""),87.0)</f>
        <v>87</v>
      </c>
      <c r="L16" t="str">
        <f>IFERROR(__xludf.DUMMYFUNCTION("""COMPUTED_VALUE"""),"PLSGPP75E08F052M")</f>
        <v>PLSGPP75E08F052M</v>
      </c>
      <c r="M16">
        <f>IFERROR(__xludf.DUMMYFUNCTION("""COMPUTED_VALUE"""),4.0)</f>
        <v>4</v>
      </c>
      <c r="N16">
        <f>IFERROR(__xludf.DUMMYFUNCTION("""COMPUTED_VALUE"""),41914.0)</f>
        <v>41914</v>
      </c>
      <c r="O16" t="str">
        <f>IFERROR(__xludf.DUMMYFUNCTION("""COMPUTED_VALUE"""),"")</f>
        <v/>
      </c>
    </row>
    <row r="17">
      <c r="A17">
        <f>IFERROR(__xludf.DUMMYFUNCTION("""COMPUTED_VALUE"""),40.6661714364971)</f>
        <v>40.66617144</v>
      </c>
      <c r="B17">
        <f>IFERROR(__xludf.DUMMYFUNCTION("""COMPUTED_VALUE"""),16.6117550868206)</f>
        <v>16.61175509</v>
      </c>
      <c r="C17" t="str">
        <f>IFERROR(__xludf.DUMMYFUNCTION("""COMPUTED_VALUE"""),"Casa Vacanza")</f>
        <v>Casa Vacanza</v>
      </c>
      <c r="D17" t="str">
        <f>IFERROR(__xludf.DUMMYFUNCTION("""COMPUTED_VALUE"""),"AL DUOMO")</f>
        <v>AL DUOMO</v>
      </c>
      <c r="E17" t="str">
        <f>IFERROR(__xludf.DUMMYFUNCTION("""COMPUTED_VALUE"""),"DI BRIZIO GIUSI")</f>
        <v>DI BRIZIO GIUSI</v>
      </c>
      <c r="F17" t="str">
        <f>IFERROR(__xludf.DUMMYFUNCTION("""COMPUTED_VALUE"""),"VIA MURO 2")</f>
        <v>VIA MURO 2</v>
      </c>
      <c r="G17" t="str">
        <f>IFERROR(__xludf.DUMMYFUNCTION("""COMPUTED_VALUE"""),"Matera")</f>
        <v>Matera</v>
      </c>
      <c r="H17" t="str">
        <f>IFERROR(__xludf.DUMMYFUNCTION("""COMPUTED_VALUE"""),"Italy")</f>
        <v>Italy</v>
      </c>
      <c r="I17">
        <f>IFERROR(__xludf.DUMMYFUNCTION("""COMPUTED_VALUE"""),1426.0)</f>
        <v>1426</v>
      </c>
      <c r="J17">
        <f>IFERROR(__xludf.DUMMYFUNCTION("""COMPUTED_VALUE"""),10.0)</f>
        <v>10</v>
      </c>
      <c r="K17">
        <f>IFERROR(__xludf.DUMMYFUNCTION("""COMPUTED_VALUE"""),159.0)</f>
        <v>159</v>
      </c>
      <c r="L17" t="str">
        <f>IFERROR(__xludf.DUMMYFUNCTION("""COMPUTED_VALUE"""),"DBRGSI84H59F052U")</f>
        <v>DBRGSI84H59F052U</v>
      </c>
      <c r="M17">
        <f>IFERROR(__xludf.DUMMYFUNCTION("""COMPUTED_VALUE"""),4.0)</f>
        <v>4</v>
      </c>
      <c r="N17">
        <f>IFERROR(__xludf.DUMMYFUNCTION("""COMPUTED_VALUE"""),42648.0)</f>
        <v>42648</v>
      </c>
      <c r="O17">
        <f>IFERROR(__xludf.DUMMYFUNCTION("""COMPUTED_VALUE"""),1632.0)</f>
        <v>1632</v>
      </c>
    </row>
    <row r="18">
      <c r="A18">
        <f>IFERROR(__xludf.DUMMYFUNCTION("""COMPUTED_VALUE"""),40.6669103)</f>
        <v>40.6669103</v>
      </c>
      <c r="B18">
        <f>IFERROR(__xludf.DUMMYFUNCTION("""COMPUTED_VALUE"""),16.6109091)</f>
        <v>16.6109091</v>
      </c>
      <c r="C18" t="str">
        <f>IFERROR(__xludf.DUMMYFUNCTION("""COMPUTED_VALUE"""),"Casa Vacanza")</f>
        <v>Casa Vacanza</v>
      </c>
      <c r="D18" t="str">
        <f>IFERROR(__xludf.DUMMYFUNCTION("""COMPUTED_VALUE"""),"AL DUOMO RELAIS")</f>
        <v>AL DUOMO RELAIS</v>
      </c>
      <c r="E18" t="str">
        <f>IFERROR(__xludf.DUMMYFUNCTION("""COMPUTED_VALUE"""),"PETRACHI MARIA ANGELA ROSARIA")</f>
        <v>PETRACHI MARIA ANGELA ROSARIA</v>
      </c>
      <c r="F18" t="str">
        <f>IFERROR(__xludf.DUMMYFUNCTION("""COMPUTED_VALUE"""),"RECINTO ANNUNZIATA VECCHIA 3")</f>
        <v>RECINTO ANNUNZIATA VECCHIA 3</v>
      </c>
      <c r="G18" t="str">
        <f>IFERROR(__xludf.DUMMYFUNCTION("""COMPUTED_VALUE"""),"Matera")</f>
        <v>Matera</v>
      </c>
      <c r="H18" t="str">
        <f>IFERROR(__xludf.DUMMYFUNCTION("""COMPUTED_VALUE"""),"Italy")</f>
        <v>Italy</v>
      </c>
      <c r="I18">
        <f>IFERROR(__xludf.DUMMYFUNCTION("""COMPUTED_VALUE"""),1116.0)</f>
        <v>1116</v>
      </c>
      <c r="J18">
        <f>IFERROR(__xludf.DUMMYFUNCTION("""COMPUTED_VALUE"""),9.0)</f>
        <v>9</v>
      </c>
      <c r="K18">
        <f>IFERROR(__xludf.DUMMYFUNCTION("""COMPUTED_VALUE"""),159.0)</f>
        <v>159</v>
      </c>
      <c r="L18" t="str">
        <f>IFERROR(__xludf.DUMMYFUNCTION("""COMPUTED_VALUE"""),"PTRMNG68S64F052E")</f>
        <v>PTRMNG68S64F052E</v>
      </c>
      <c r="M18">
        <f>IFERROR(__xludf.DUMMYFUNCTION("""COMPUTED_VALUE"""),5.0)</f>
        <v>5</v>
      </c>
      <c r="N18">
        <f>IFERROR(__xludf.DUMMYFUNCTION("""COMPUTED_VALUE"""),43116.0)</f>
        <v>43116</v>
      </c>
      <c r="O18" t="str">
        <f>IFERROR(__xludf.DUMMYFUNCTION("""COMPUTED_VALUE"""),"")</f>
        <v/>
      </c>
    </row>
    <row r="19">
      <c r="A19">
        <f>IFERROR(__xludf.DUMMYFUNCTION("""COMPUTED_VALUE"""),40.6656789)</f>
        <v>40.6656789</v>
      </c>
      <c r="B19">
        <f>IFERROR(__xludf.DUMMYFUNCTION("""COMPUTED_VALUE"""),16.6126694)</f>
        <v>16.6126694</v>
      </c>
      <c r="C19" t="str">
        <f>IFERROR(__xludf.DUMMYFUNCTION("""COMPUTED_VALUE"""),"Casa Vacanza")</f>
        <v>Casa Vacanza</v>
      </c>
      <c r="D19" t="str">
        <f>IFERROR(__xludf.DUMMYFUNCTION("""COMPUTED_VALUE"""),"ALBA CHIARA")</f>
        <v>ALBA CHIARA</v>
      </c>
      <c r="E19" t="str">
        <f>IFERROR(__xludf.DUMMYFUNCTION("""COMPUTED_VALUE"""),"FERDINANDO IRENE")</f>
        <v>FERDINANDO IRENE</v>
      </c>
      <c r="F19" t="str">
        <f>IFERROR(__xludf.DUMMYFUNCTION("""COMPUTED_VALUE"""),"VIA SANT'ANGELO 35/36")</f>
        <v>VIA SANT'ANGELO 35/36</v>
      </c>
      <c r="G19" t="str">
        <f>IFERROR(__xludf.DUMMYFUNCTION("""COMPUTED_VALUE"""),"Matera")</f>
        <v>Matera</v>
      </c>
      <c r="H19" t="str">
        <f>IFERROR(__xludf.DUMMYFUNCTION("""COMPUTED_VALUE"""),"Italy")</f>
        <v>Italy</v>
      </c>
      <c r="I19">
        <f>IFERROR(__xludf.DUMMYFUNCTION("""COMPUTED_VALUE"""),1630.0)</f>
        <v>1630</v>
      </c>
      <c r="J19">
        <f>IFERROR(__xludf.DUMMYFUNCTION("""COMPUTED_VALUE"""),5.0)</f>
        <v>5</v>
      </c>
      <c r="K19">
        <f>IFERROR(__xludf.DUMMYFUNCTION("""COMPUTED_VALUE"""),159.0)</f>
        <v>159</v>
      </c>
      <c r="L19" t="str">
        <f>IFERROR(__xludf.DUMMYFUNCTION("""COMPUTED_VALUE"""),"RNIFDN73H10F052Q")</f>
        <v>RNIFDN73H10F052Q</v>
      </c>
      <c r="M19">
        <f>IFERROR(__xludf.DUMMYFUNCTION("""COMPUTED_VALUE"""),4.0)</f>
        <v>4</v>
      </c>
      <c r="N19">
        <f>IFERROR(__xludf.DUMMYFUNCTION("""COMPUTED_VALUE"""),42373.0)</f>
        <v>42373</v>
      </c>
      <c r="O19" t="str">
        <f>IFERROR(__xludf.DUMMYFUNCTION("""COMPUTED_VALUE"""),"")</f>
        <v/>
      </c>
    </row>
    <row r="20">
      <c r="A20">
        <f>IFERROR(__xludf.DUMMYFUNCTION("""COMPUTED_VALUE"""),40.6609148)</f>
        <v>40.6609148</v>
      </c>
      <c r="B20">
        <f>IFERROR(__xludf.DUMMYFUNCTION("""COMPUTED_VALUE"""),16.6113137)</f>
        <v>16.6113137</v>
      </c>
      <c r="C20" t="str">
        <f>IFERROR(__xludf.DUMMYFUNCTION("""COMPUTED_VALUE"""),"Casa Vacanza")</f>
        <v>Casa Vacanza</v>
      </c>
      <c r="D20" t="str">
        <f>IFERROR(__xludf.DUMMYFUNCTION("""COMPUTED_VALUE"""),"ALBA SUI SASSI")</f>
        <v>ALBA SUI SASSI</v>
      </c>
      <c r="E20" t="str">
        <f>IFERROR(__xludf.DUMMYFUNCTION("""COMPUTED_VALUE"""),"FESTA GIUSEPPINA")</f>
        <v>FESTA GIUSEPPINA</v>
      </c>
      <c r="F20" t="str">
        <f>IFERROR(__xludf.DUMMYFUNCTION("""COMPUTED_VALUE"""),"VIA LUCANA 217")</f>
        <v>VIA LUCANA 217</v>
      </c>
      <c r="G20" t="str">
        <f>IFERROR(__xludf.DUMMYFUNCTION("""COMPUTED_VALUE"""),"Matera")</f>
        <v>Matera</v>
      </c>
      <c r="H20" t="str">
        <f>IFERROR(__xludf.DUMMYFUNCTION("""COMPUTED_VALUE"""),"Italy")</f>
        <v>Italy</v>
      </c>
      <c r="I20">
        <f>IFERROR(__xludf.DUMMYFUNCTION("""COMPUTED_VALUE"""),3865.0)</f>
        <v>3865</v>
      </c>
      <c r="J20">
        <f>IFERROR(__xludf.DUMMYFUNCTION("""COMPUTED_VALUE"""),6.0)</f>
        <v>6</v>
      </c>
      <c r="K20">
        <f>IFERROR(__xludf.DUMMYFUNCTION("""COMPUTED_VALUE"""),159.0)</f>
        <v>159</v>
      </c>
      <c r="L20" t="str">
        <f>IFERROR(__xludf.DUMMYFUNCTION("""COMPUTED_VALUE"""),"FSTGPP66L55F052Y")</f>
        <v>FSTGPP66L55F052Y</v>
      </c>
      <c r="M20">
        <f>IFERROR(__xludf.DUMMYFUNCTION("""COMPUTED_VALUE"""),4.0)</f>
        <v>4</v>
      </c>
      <c r="N20">
        <f>IFERROR(__xludf.DUMMYFUNCTION("""COMPUTED_VALUE"""),42543.0)</f>
        <v>42543</v>
      </c>
      <c r="O20" t="str">
        <f>IFERROR(__xludf.DUMMYFUNCTION("""COMPUTED_VALUE"""),"")</f>
        <v/>
      </c>
    </row>
    <row r="21">
      <c r="A21">
        <f>IFERROR(__xludf.DUMMYFUNCTION("""COMPUTED_VALUE"""),40.6683389510557)</f>
        <v>40.66833895</v>
      </c>
      <c r="B21">
        <f>IFERROR(__xludf.DUMMYFUNCTION("""COMPUTED_VALUE"""),16.6044198177565)</f>
        <v>16.60441982</v>
      </c>
      <c r="C21" t="str">
        <f>IFERROR(__xludf.DUMMYFUNCTION("""COMPUTED_VALUE"""),"Casa Vacanza")</f>
        <v>Casa Vacanza</v>
      </c>
      <c r="D21" t="str">
        <f>IFERROR(__xludf.DUMMYFUNCTION("""COMPUTED_VALUE"""),"ALESSIO DE SARIIS")</f>
        <v>ALESSIO DE SARIIS</v>
      </c>
      <c r="E21" t="str">
        <f>IFERROR(__xludf.DUMMYFUNCTION("""COMPUTED_VALUE"""),"ROSA FABRIZIO")</f>
        <v>ROSA FABRIZIO</v>
      </c>
      <c r="F21" t="str">
        <f>IFERROR(__xludf.DUMMYFUNCTION("""COMPUTED_VALUE"""),"VIA DE SARIIS 12")</f>
        <v>VIA DE SARIIS 12</v>
      </c>
      <c r="G21" t="str">
        <f>IFERROR(__xludf.DUMMYFUNCTION("""COMPUTED_VALUE"""),"Matera")</f>
        <v>Matera</v>
      </c>
      <c r="H21" t="str">
        <f>IFERROR(__xludf.DUMMYFUNCTION("""COMPUTED_VALUE"""),"Italy")</f>
        <v>Italy</v>
      </c>
      <c r="I21">
        <f>IFERROR(__xludf.DUMMYFUNCTION("""COMPUTED_VALUE"""),3745.0)</f>
        <v>3745</v>
      </c>
      <c r="J21">
        <f>IFERROR(__xludf.DUMMYFUNCTION("""COMPUTED_VALUE"""),11.0)</f>
        <v>11</v>
      </c>
      <c r="K21">
        <f>IFERROR(__xludf.DUMMYFUNCTION("""COMPUTED_VALUE"""),159.0)</f>
        <v>159</v>
      </c>
      <c r="L21" t="str">
        <f>IFERROR(__xludf.DUMMYFUNCTION("""COMPUTED_VALUE"""),"FBRRS045E42F052J")</f>
        <v>FBRRS045E42F052J</v>
      </c>
      <c r="M21">
        <f>IFERROR(__xludf.DUMMYFUNCTION("""COMPUTED_VALUE"""),6.0)</f>
        <v>6</v>
      </c>
      <c r="N21">
        <f>IFERROR(__xludf.DUMMYFUNCTION("""COMPUTED_VALUE"""),42378.0)</f>
        <v>42378</v>
      </c>
      <c r="O21" t="str">
        <f>IFERROR(__xludf.DUMMYFUNCTION("""COMPUTED_VALUE"""),"")</f>
        <v/>
      </c>
    </row>
    <row r="22">
      <c r="A22">
        <f>IFERROR(__xludf.DUMMYFUNCTION("""COMPUTED_VALUE"""),40.6725094031357)</f>
        <v>40.6725094</v>
      </c>
      <c r="B22">
        <f>IFERROR(__xludf.DUMMYFUNCTION("""COMPUTED_VALUE"""),16.600357890129)</f>
        <v>16.60035789</v>
      </c>
      <c r="C22" t="str">
        <f>IFERROR(__xludf.DUMMYFUNCTION("""COMPUTED_VALUE"""),"Casa Vacanza")</f>
        <v>Casa Vacanza</v>
      </c>
      <c r="D22" t="str">
        <f>IFERROR(__xludf.DUMMYFUNCTION("""COMPUTED_VALUE"""),"ALLA CONTRORA")</f>
        <v>ALLA CONTRORA</v>
      </c>
      <c r="E22" t="str">
        <f>IFERROR(__xludf.DUMMYFUNCTION("""COMPUTED_VALUE"""),"FRASCATI CARLA")</f>
        <v>FRASCATI CARLA</v>
      </c>
      <c r="F22" t="str">
        <f>IFERROR(__xludf.DUMMYFUNCTION("""COMPUTED_VALUE"""),"VIA DELLA CROCE  9/A")</f>
        <v>VIA DELLA CROCE  9/A</v>
      </c>
      <c r="G22" t="str">
        <f>IFERROR(__xludf.DUMMYFUNCTION("""COMPUTED_VALUE"""),"Matera")</f>
        <v>Matera</v>
      </c>
      <c r="H22" t="str">
        <f>IFERROR(__xludf.DUMMYFUNCTION("""COMPUTED_VALUE"""),"Italy")</f>
        <v>Italy</v>
      </c>
      <c r="I22">
        <f>IFERROR(__xludf.DUMMYFUNCTION("""COMPUTED_VALUE"""),787.0)</f>
        <v>787</v>
      </c>
      <c r="J22">
        <f>IFERROR(__xludf.DUMMYFUNCTION("""COMPUTED_VALUE"""),1.0)</f>
        <v>1</v>
      </c>
      <c r="K22">
        <f>IFERROR(__xludf.DUMMYFUNCTION("""COMPUTED_VALUE"""),71.0)</f>
        <v>71</v>
      </c>
      <c r="L22" t="str">
        <f>IFERROR(__xludf.DUMMYFUNCTION("""COMPUTED_VALUE"""),"FRSCRL83E57F052C")</f>
        <v>FRSCRL83E57F052C</v>
      </c>
      <c r="M22">
        <f>IFERROR(__xludf.DUMMYFUNCTION("""COMPUTED_VALUE"""),4.0)</f>
        <v>4</v>
      </c>
      <c r="N22">
        <f>IFERROR(__xludf.DUMMYFUNCTION("""COMPUTED_VALUE"""),42556.0)</f>
        <v>42556</v>
      </c>
      <c r="O22" t="str">
        <f>IFERROR(__xludf.DUMMYFUNCTION("""COMPUTED_VALUE"""),"")</f>
        <v/>
      </c>
    </row>
    <row r="23">
      <c r="A23">
        <f>IFERROR(__xludf.DUMMYFUNCTION("""COMPUTED_VALUE"""),40.667135)</f>
        <v>40.667135</v>
      </c>
      <c r="B23">
        <f>IFERROR(__xludf.DUMMYFUNCTION("""COMPUTED_VALUE"""),16.6077736)</f>
        <v>16.6077736</v>
      </c>
      <c r="C23" t="str">
        <f>IFERROR(__xludf.DUMMYFUNCTION("""COMPUTED_VALUE"""),"Casa Vacanza")</f>
        <v>Casa Vacanza</v>
      </c>
      <c r="D23" t="str">
        <f>IFERROR(__xludf.DUMMYFUNCTION("""COMPUTED_VALUE"""),"ALLE FORNACI VECCHIE")</f>
        <v>ALLE FORNACI VECCHIE</v>
      </c>
      <c r="E23" t="str">
        <f>IFERROR(__xludf.DUMMYFUNCTION("""COMPUTED_VALUE"""),"LASALA ANNA")</f>
        <v>LASALA ANNA</v>
      </c>
      <c r="F23" t="str">
        <f>IFERROR(__xludf.DUMMYFUNCTION("""COMPUTED_VALUE"""),"VIA FORNACI VECCHIE 4950")</f>
        <v>VIA FORNACI VECCHIE 4950</v>
      </c>
      <c r="G23" t="str">
        <f>IFERROR(__xludf.DUMMYFUNCTION("""COMPUTED_VALUE"""),"Matera")</f>
        <v>Matera</v>
      </c>
      <c r="H23" t="str">
        <f>IFERROR(__xludf.DUMMYFUNCTION("""COMPUTED_VALUE"""),"Italy")</f>
        <v>Italy</v>
      </c>
      <c r="I23">
        <f>IFERROR(__xludf.DUMMYFUNCTION("""COMPUTED_VALUE"""),565.0)</f>
        <v>565</v>
      </c>
      <c r="J23">
        <f>IFERROR(__xludf.DUMMYFUNCTION("""COMPUTED_VALUE"""),3.0)</f>
        <v>3</v>
      </c>
      <c r="K23">
        <f>IFERROR(__xludf.DUMMYFUNCTION("""COMPUTED_VALUE"""),159.0)</f>
        <v>159</v>
      </c>
      <c r="L23" t="str">
        <f>IFERROR(__xludf.DUMMYFUNCTION("""COMPUTED_VALUE"""),"LSLNMR62A67F052B")</f>
        <v>LSLNMR62A67F052B</v>
      </c>
      <c r="M23">
        <f>IFERROR(__xludf.DUMMYFUNCTION("""COMPUTED_VALUE"""),2.0)</f>
        <v>2</v>
      </c>
      <c r="N23">
        <f>IFERROR(__xludf.DUMMYFUNCTION("""COMPUTED_VALUE"""),42361.0)</f>
        <v>42361</v>
      </c>
      <c r="O23">
        <f>IFERROR(__xludf.DUMMYFUNCTION("""COMPUTED_VALUE"""),1318.0)</f>
        <v>1318</v>
      </c>
    </row>
    <row r="24">
      <c r="A24">
        <f>IFERROR(__xludf.DUMMYFUNCTION("""COMPUTED_VALUE"""),40.667135)</f>
        <v>40.667135</v>
      </c>
      <c r="B24">
        <f>IFERROR(__xludf.DUMMYFUNCTION("""COMPUTED_VALUE"""),16.6077736)</f>
        <v>16.6077736</v>
      </c>
      <c r="C24" t="str">
        <f>IFERROR(__xludf.DUMMYFUNCTION("""COMPUTED_VALUE"""),"Casa Vacanza")</f>
        <v>Casa Vacanza</v>
      </c>
      <c r="D24" t="str">
        <f>IFERROR(__xludf.DUMMYFUNCTION("""COMPUTED_VALUE"""),"ALLE FORNACI VECCHIE IPOGEI")</f>
        <v>ALLE FORNACI VECCHIE IPOGEI</v>
      </c>
      <c r="E24" t="str">
        <f>IFERROR(__xludf.DUMMYFUNCTION("""COMPUTED_VALUE"""),"LASALA ANNA")</f>
        <v>LASALA ANNA</v>
      </c>
      <c r="F24" t="str">
        <f>IFERROR(__xludf.DUMMYFUNCTION("""COMPUTED_VALUE"""),"VIA FORNACI VECCHIE 42")</f>
        <v>VIA FORNACI VECCHIE 42</v>
      </c>
      <c r="G24" t="str">
        <f>IFERROR(__xludf.DUMMYFUNCTION("""COMPUTED_VALUE"""),"Matera")</f>
        <v>Matera</v>
      </c>
      <c r="H24" t="str">
        <f>IFERROR(__xludf.DUMMYFUNCTION("""COMPUTED_VALUE"""),"Italy")</f>
        <v>Italy</v>
      </c>
      <c r="I24">
        <f>IFERROR(__xludf.DUMMYFUNCTION("""COMPUTED_VALUE"""),565.0)</f>
        <v>565</v>
      </c>
      <c r="J24">
        <f>IFERROR(__xludf.DUMMYFUNCTION("""COMPUTED_VALUE"""),1.0)</f>
        <v>1</v>
      </c>
      <c r="K24">
        <f>IFERROR(__xludf.DUMMYFUNCTION("""COMPUTED_VALUE"""),159.0)</f>
        <v>159</v>
      </c>
      <c r="L24" t="str">
        <f>IFERROR(__xludf.DUMMYFUNCTION("""COMPUTED_VALUE"""),"LSLNMR62A67F052B")</f>
        <v>LSLNMR62A67F052B</v>
      </c>
      <c r="M24">
        <f>IFERROR(__xludf.DUMMYFUNCTION("""COMPUTED_VALUE"""),2.0)</f>
        <v>2</v>
      </c>
      <c r="N24">
        <f>IFERROR(__xludf.DUMMYFUNCTION("""COMPUTED_VALUE"""),42361.0)</f>
        <v>42361</v>
      </c>
      <c r="O24">
        <f>IFERROR(__xludf.DUMMYFUNCTION("""COMPUTED_VALUE"""),1318.0)</f>
        <v>1318</v>
      </c>
    </row>
    <row r="25">
      <c r="A25">
        <f>IFERROR(__xludf.DUMMYFUNCTION("""COMPUTED_VALUE"""),40.6790991)</f>
        <v>40.6790991</v>
      </c>
      <c r="B25">
        <f>IFERROR(__xludf.DUMMYFUNCTION("""COMPUTED_VALUE"""),16.5882187)</f>
        <v>16.5882187</v>
      </c>
      <c r="C25" t="str">
        <f>IFERROR(__xludf.DUMMYFUNCTION("""COMPUTED_VALUE"""),"Casa Vacanza")</f>
        <v>Casa Vacanza</v>
      </c>
      <c r="D25" t="str">
        <f>IFERROR(__xludf.DUMMYFUNCTION("""COMPUTED_VALUE"""),"ALTEA")</f>
        <v>ALTEA</v>
      </c>
      <c r="E25" t="str">
        <f>IFERROR(__xludf.DUMMYFUNCTION("""COMPUTED_VALUE"""),"DI CUIA IMMACOLATA")</f>
        <v>DI CUIA IMMACOLATA</v>
      </c>
      <c r="F25" t="str">
        <f>IFERROR(__xludf.DUMMYFUNCTION("""COMPUTED_VALUE"""),"VIA DEI BIZANTINI 41")</f>
        <v>VIA DEI BIZANTINI 41</v>
      </c>
      <c r="G25" t="str">
        <f>IFERROR(__xludf.DUMMYFUNCTION("""COMPUTED_VALUE"""),"Matera")</f>
        <v>Matera</v>
      </c>
      <c r="H25" t="str">
        <f>IFERROR(__xludf.DUMMYFUNCTION("""COMPUTED_VALUE"""),"Italy")</f>
        <v>Italy</v>
      </c>
      <c r="I25">
        <f>IFERROR(__xludf.DUMMYFUNCTION("""COMPUTED_VALUE"""),527.0)</f>
        <v>527</v>
      </c>
      <c r="J25">
        <f>IFERROR(__xludf.DUMMYFUNCTION("""COMPUTED_VALUE"""),60.0)</f>
        <v>60</v>
      </c>
      <c r="K25">
        <f>IFERROR(__xludf.DUMMYFUNCTION("""COMPUTED_VALUE"""),68.0)</f>
        <v>68</v>
      </c>
      <c r="L25" t="str">
        <f>IFERROR(__xludf.DUMMYFUNCTION("""COMPUTED_VALUE"""),"DCIMCL75C51F052A")</f>
        <v>DCIMCL75C51F052A</v>
      </c>
      <c r="M25">
        <f>IFERROR(__xludf.DUMMYFUNCTION("""COMPUTED_VALUE"""),4.0)</f>
        <v>4</v>
      </c>
      <c r="N25">
        <f>IFERROR(__xludf.DUMMYFUNCTION("""COMPUTED_VALUE"""),42558.0)</f>
        <v>42558</v>
      </c>
      <c r="O25" t="str">
        <f>IFERROR(__xludf.DUMMYFUNCTION("""COMPUTED_VALUE"""),"")</f>
        <v/>
      </c>
    </row>
    <row r="26">
      <c r="A26">
        <f>IFERROR(__xludf.DUMMYFUNCTION("""COMPUTED_VALUE"""),40.6782757)</f>
        <v>40.6782757</v>
      </c>
      <c r="B26">
        <f>IFERROR(__xludf.DUMMYFUNCTION("""COMPUTED_VALUE"""),16.5932915)</f>
        <v>16.5932915</v>
      </c>
      <c r="C26" t="str">
        <f>IFERROR(__xludf.DUMMYFUNCTION("""COMPUTED_VALUE"""),"Casa Vacanza")</f>
        <v>Casa Vacanza</v>
      </c>
      <c r="D26" t="str">
        <f>IFERROR(__xludf.DUMMYFUNCTION("""COMPUTED_VALUE"""),"ALVINO")</f>
        <v>ALVINO</v>
      </c>
      <c r="E26" t="str">
        <f>IFERROR(__xludf.DUMMYFUNCTION("""COMPUTED_VALUE"""),"PARADISO ANGELA")</f>
        <v>PARADISO ANGELA</v>
      </c>
      <c r="F26" t="str">
        <f>IFERROR(__xludf.DUMMYFUNCTION("""COMPUTED_VALUE"""),"VIA SAN PARDO 46")</f>
        <v>VIA SAN PARDO 46</v>
      </c>
      <c r="G26" t="str">
        <f>IFERROR(__xludf.DUMMYFUNCTION("""COMPUTED_VALUE"""),"Matera")</f>
        <v>Matera</v>
      </c>
      <c r="H26" t="str">
        <f>IFERROR(__xludf.DUMMYFUNCTION("""COMPUTED_VALUE"""),"Italy")</f>
        <v>Italy</v>
      </c>
      <c r="I26">
        <f>IFERROR(__xludf.DUMMYFUNCTION("""COMPUTED_VALUE"""),704.0)</f>
        <v>704</v>
      </c>
      <c r="J26">
        <f>IFERROR(__xludf.DUMMYFUNCTION("""COMPUTED_VALUE"""),9.0)</f>
        <v>9</v>
      </c>
      <c r="K26">
        <f>IFERROR(__xludf.DUMMYFUNCTION("""COMPUTED_VALUE"""),70.0)</f>
        <v>70</v>
      </c>
      <c r="L26" t="str">
        <f>IFERROR(__xludf.DUMMYFUNCTION("""COMPUTED_VALUE"""),"PRDNGL56D54F052S")</f>
        <v>PRDNGL56D54F052S</v>
      </c>
      <c r="M26">
        <f>IFERROR(__xludf.DUMMYFUNCTION("""COMPUTED_VALUE"""),4.0)</f>
        <v>4</v>
      </c>
      <c r="N26">
        <f>IFERROR(__xludf.DUMMYFUNCTION("""COMPUTED_VALUE"""),42710.0)</f>
        <v>42710</v>
      </c>
      <c r="O26" t="str">
        <f>IFERROR(__xludf.DUMMYFUNCTION("""COMPUTED_VALUE"""),"")</f>
        <v/>
      </c>
    </row>
    <row r="27">
      <c r="A27">
        <f>IFERROR(__xludf.DUMMYFUNCTION("""COMPUTED_VALUE"""),40.6710931)</f>
        <v>40.6710931</v>
      </c>
      <c r="B27">
        <f>IFERROR(__xludf.DUMMYFUNCTION("""COMPUTED_VALUE"""),16.6086155)</f>
        <v>16.6086155</v>
      </c>
      <c r="C27" t="str">
        <f>IFERROR(__xludf.DUMMYFUNCTION("""COMPUTED_VALUE"""),"Casa Vacanza")</f>
        <v>Casa Vacanza</v>
      </c>
      <c r="D27" t="str">
        <f>IFERROR(__xludf.DUMMYFUNCTION("""COMPUTED_VALUE"""),"ANGELICA")</f>
        <v>ANGELICA</v>
      </c>
      <c r="E27" t="str">
        <f>IFERROR(__xludf.DUMMYFUNCTION("""COMPUTED_VALUE"""),"SCAGLIOSO ANTONIO")</f>
        <v>SCAGLIOSO ANTONIO</v>
      </c>
      <c r="F27" t="str">
        <f>IFERROR(__xludf.DUMMYFUNCTION("""COMPUTED_VALUE"""),"VIA SANTO STEFANO 5")</f>
        <v>VIA SANTO STEFANO 5</v>
      </c>
      <c r="G27" t="str">
        <f>IFERROR(__xludf.DUMMYFUNCTION("""COMPUTED_VALUE"""),"Matera")</f>
        <v>Matera</v>
      </c>
      <c r="H27" t="str">
        <f>IFERROR(__xludf.DUMMYFUNCTION("""COMPUTED_VALUE"""),"Italy")</f>
        <v>Italy</v>
      </c>
      <c r="I27">
        <f>IFERROR(__xludf.DUMMYFUNCTION("""COMPUTED_VALUE"""),24.0)</f>
        <v>24</v>
      </c>
      <c r="J27">
        <f>IFERROR(__xludf.DUMMYFUNCTION("""COMPUTED_VALUE"""),13.0)</f>
        <v>13</v>
      </c>
      <c r="K27">
        <f>IFERROR(__xludf.DUMMYFUNCTION("""COMPUTED_VALUE"""),159.0)</f>
        <v>159</v>
      </c>
      <c r="L27" t="str">
        <f>IFERROR(__xludf.DUMMYFUNCTION("""COMPUTED_VALUE"""),"SCGNTN44A19I467P")</f>
        <v>SCGNTN44A19I467P</v>
      </c>
      <c r="M27">
        <f>IFERROR(__xludf.DUMMYFUNCTION("""COMPUTED_VALUE"""),6.0)</f>
        <v>6</v>
      </c>
      <c r="N27">
        <f>IFERROR(__xludf.DUMMYFUNCTION("""COMPUTED_VALUE"""),42515.0)</f>
        <v>42515</v>
      </c>
      <c r="O27" t="str">
        <f>IFERROR(__xludf.DUMMYFUNCTION("""COMPUTED_VALUE"""),"")</f>
        <v/>
      </c>
    </row>
    <row r="28">
      <c r="A28">
        <f>IFERROR(__xludf.DUMMYFUNCTION("""COMPUTED_VALUE"""),40.666379)</f>
        <v>40.666379</v>
      </c>
      <c r="B28">
        <f>IFERROR(__xludf.DUMMYFUNCTION("""COMPUTED_VALUE"""),16.6043199)</f>
        <v>16.6043199</v>
      </c>
      <c r="C28" t="str">
        <f>IFERROR(__xludf.DUMMYFUNCTION("""COMPUTED_VALUE"""),"Casa Vacanza")</f>
        <v>Casa Vacanza</v>
      </c>
      <c r="D28" t="str">
        <f>IFERROR(__xludf.DUMMYFUNCTION("""COMPUTED_VALUE"""),"ANGOLO DI NINNO")</f>
        <v>ANGOLO DI NINNO</v>
      </c>
      <c r="E28" t="str">
        <f>IFERROR(__xludf.DUMMYFUNCTION("""COMPUTED_VALUE"""),"IULIANO GRAZIANO MICHELEVIA DE SARIIS 4 PIANO1°")</f>
        <v>IULIANO GRAZIANO MICHELEVIA DE SARIIS 4 PIANO1°</v>
      </c>
      <c r="F28" t="str">
        <f>IFERROR(__xludf.DUMMYFUNCTION("""COMPUTED_VALUE"""),"")</f>
        <v/>
      </c>
      <c r="G28" t="str">
        <f>IFERROR(__xludf.DUMMYFUNCTION("""COMPUTED_VALUE"""),"Matera")</f>
        <v>Matera</v>
      </c>
      <c r="H28" t="str">
        <f>IFERROR(__xludf.DUMMYFUNCTION("""COMPUTED_VALUE"""),"Italy")</f>
        <v>Italy</v>
      </c>
      <c r="I28">
        <f>IFERROR(__xludf.DUMMYFUNCTION("""COMPUTED_VALUE"""),3761.0)</f>
        <v>3761</v>
      </c>
      <c r="J28">
        <f>IFERROR(__xludf.DUMMYFUNCTION("""COMPUTED_VALUE"""),2.0)</f>
        <v>2</v>
      </c>
      <c r="K28">
        <f>IFERROR(__xludf.DUMMYFUNCTION("""COMPUTED_VALUE"""),159.0)</f>
        <v>159</v>
      </c>
      <c r="L28" t="str">
        <f>IFERROR(__xludf.DUMMYFUNCTION("""COMPUTED_VALUE"""),"LNIGZN72B13F052R")</f>
        <v>LNIGZN72B13F052R</v>
      </c>
      <c r="M28">
        <f>IFERROR(__xludf.DUMMYFUNCTION("""COMPUTED_VALUE"""),4.0)</f>
        <v>4</v>
      </c>
      <c r="N28">
        <f>IFERROR(__xludf.DUMMYFUNCTION("""COMPUTED_VALUE"""),42642.0)</f>
        <v>42642</v>
      </c>
      <c r="O28" t="str">
        <f>IFERROR(__xludf.DUMMYFUNCTION("""COMPUTED_VALUE"""),"")</f>
        <v/>
      </c>
    </row>
    <row r="29">
      <c r="A29">
        <f>IFERROR(__xludf.DUMMYFUNCTION("""COMPUTED_VALUE"""),40.660694721388)</f>
        <v>40.66069472</v>
      </c>
      <c r="B29">
        <f>IFERROR(__xludf.DUMMYFUNCTION("""COMPUTED_VALUE"""),16.6124065302002)</f>
        <v>16.61240653</v>
      </c>
      <c r="C29" t="str">
        <f>IFERROR(__xludf.DUMMYFUNCTION("""COMPUTED_VALUE"""),"Casa Vacanza")</f>
        <v>Casa Vacanza</v>
      </c>
      <c r="D29" t="str">
        <f>IFERROR(__xludf.DUMMYFUNCTION("""COMPUTED_VALUE"""),"ANTICA DIMORA MATERA")</f>
        <v>ANTICA DIMORA MATERA</v>
      </c>
      <c r="E29" t="str">
        <f>IFERROR(__xludf.DUMMYFUNCTION("""COMPUTED_VALUE"""),"FORGIONE MARIANGELA EUGENIA")</f>
        <v>FORGIONE MARIANGELA EUGENIA</v>
      </c>
      <c r="F29" t="str">
        <f>IFERROR(__xludf.DUMMYFUNCTION("""COMPUTED_VALUE"""),"RECINTO SESTO LUCANA 3")</f>
        <v>RECINTO SESTO LUCANA 3</v>
      </c>
      <c r="G29" t="str">
        <f>IFERROR(__xludf.DUMMYFUNCTION("""COMPUTED_VALUE"""),"Matera")</f>
        <v>Matera</v>
      </c>
      <c r="H29" t="str">
        <f>IFERROR(__xludf.DUMMYFUNCTION("""COMPUTED_VALUE"""),"Italy")</f>
        <v>Italy</v>
      </c>
      <c r="I29">
        <f>IFERROR(__xludf.DUMMYFUNCTION("""COMPUTED_VALUE"""),3433.0)</f>
        <v>3433</v>
      </c>
      <c r="J29">
        <f>IFERROR(__xludf.DUMMYFUNCTION("""COMPUTED_VALUE"""),9.0)</f>
        <v>9</v>
      </c>
      <c r="K29">
        <f>IFERROR(__xludf.DUMMYFUNCTION("""COMPUTED_VALUE"""),159.0)</f>
        <v>159</v>
      </c>
      <c r="L29" t="str">
        <f>IFERROR(__xludf.DUMMYFUNCTION("""COMPUTED_VALUE"""),"FRGMNG66T54B443X")</f>
        <v>FRGMNG66T54B443X</v>
      </c>
      <c r="M29">
        <f>IFERROR(__xludf.DUMMYFUNCTION("""COMPUTED_VALUE"""),4.0)</f>
        <v>4</v>
      </c>
      <c r="N29">
        <f>IFERROR(__xludf.DUMMYFUNCTION("""COMPUTED_VALUE"""),43279.0)</f>
        <v>43279</v>
      </c>
      <c r="O29" t="str">
        <f>IFERROR(__xludf.DUMMYFUNCTION("""COMPUTED_VALUE"""),"")</f>
        <v/>
      </c>
    </row>
    <row r="30">
      <c r="A30">
        <f>IFERROR(__xludf.DUMMYFUNCTION("""COMPUTED_VALUE"""),40.6638588)</f>
        <v>40.6638588</v>
      </c>
      <c r="B30">
        <f>IFERROR(__xludf.DUMMYFUNCTION("""COMPUTED_VALUE"""),16.6112163)</f>
        <v>16.6112163</v>
      </c>
      <c r="C30" t="str">
        <f>IFERROR(__xludf.DUMMYFUNCTION("""COMPUTED_VALUE"""),"Casa Vacanza")</f>
        <v>Casa Vacanza</v>
      </c>
      <c r="D30" t="str">
        <f>IFERROR(__xludf.DUMMYFUNCTION("""COMPUTED_VALUE"""),"ANTICO CONVICINO")</f>
        <v>ANTICO CONVICINO</v>
      </c>
      <c r="E30" t="str">
        <f>IFERROR(__xludf.DUMMYFUNCTION("""COMPUTED_VALUE"""),"ANNA MARIA BRUCOLI")</f>
        <v>ANNA MARIA BRUCOLI</v>
      </c>
      <c r="F30" t="str">
        <f>IFERROR(__xludf.DUMMYFUNCTION("""COMPUTED_VALUE"""),"VIA BRUNO BUOZZI")</f>
        <v>VIA BRUNO BUOZZI</v>
      </c>
      <c r="G30" t="str">
        <f>IFERROR(__xludf.DUMMYFUNCTION("""COMPUTED_VALUE"""),"Matera")</f>
        <v>Matera</v>
      </c>
      <c r="H30" t="str">
        <f>IFERROR(__xludf.DUMMYFUNCTION("""COMPUTED_VALUE"""),"Italy")</f>
        <v>Italy</v>
      </c>
      <c r="I30">
        <f>IFERROR(__xludf.DUMMYFUNCTION("""COMPUTED_VALUE"""),1791.0)</f>
        <v>1791</v>
      </c>
      <c r="J30">
        <f>IFERROR(__xludf.DUMMYFUNCTION("""COMPUTED_VALUE"""),5.0)</f>
        <v>5</v>
      </c>
      <c r="K30">
        <f>IFERROR(__xludf.DUMMYFUNCTION("""COMPUTED_VALUE"""),159.0)</f>
        <v>159</v>
      </c>
      <c r="L30" t="str">
        <f>IFERROR(__xludf.DUMMYFUNCTION("""COMPUTED_VALUE"""),"BRCNMR64H59F052S")</f>
        <v>BRCNMR64H59F052S</v>
      </c>
      <c r="M30">
        <f>IFERROR(__xludf.DUMMYFUNCTION("""COMPUTED_VALUE"""),4.0)</f>
        <v>4</v>
      </c>
      <c r="N30" t="str">
        <f>IFERROR(__xludf.DUMMYFUNCTION("""COMPUTED_VALUE"""),"")</f>
        <v/>
      </c>
      <c r="O30" t="str">
        <f>IFERROR(__xludf.DUMMYFUNCTION("""COMPUTED_VALUE"""),"")</f>
        <v/>
      </c>
    </row>
    <row r="31">
      <c r="A31">
        <f>IFERROR(__xludf.DUMMYFUNCTION("""COMPUTED_VALUE"""),40.6659532993104)</f>
        <v>40.6659533</v>
      </c>
      <c r="B31">
        <f>IFERROR(__xludf.DUMMYFUNCTION("""COMPUTED_VALUE"""),16.6111321437812)</f>
        <v>16.61113214</v>
      </c>
      <c r="C31" t="str">
        <f>IFERROR(__xludf.DUMMYFUNCTION("""COMPUTED_VALUE"""),"Casa Vacanza")</f>
        <v>Casa Vacanza</v>
      </c>
      <c r="D31" t="str">
        <f>IFERROR(__xludf.DUMMYFUNCTION("""COMPUTED_VALUE"""),"APPARTAMENTO MARIANA")</f>
        <v>APPARTAMENTO MARIANA</v>
      </c>
      <c r="E31" t="str">
        <f>IFERROR(__xludf.DUMMYFUNCTION("""COMPUTED_VALUE"""),"ROCCO VENTURA")</f>
        <v>ROCCO VENTURA</v>
      </c>
      <c r="F31" t="str">
        <f>IFERROR(__xludf.DUMMYFUNCTION("""COMPUTED_VALUE"""),"SALITA CASTELVECCHIO 18 PIANO TERRA")</f>
        <v>SALITA CASTELVECCHIO 18 PIANO TERRA</v>
      </c>
      <c r="G31" t="str">
        <f>IFERROR(__xludf.DUMMYFUNCTION("""COMPUTED_VALUE"""),"Matera")</f>
        <v>Matera</v>
      </c>
      <c r="H31" t="str">
        <f>IFERROR(__xludf.DUMMYFUNCTION("""COMPUTED_VALUE"""),"Italy")</f>
        <v>Italy</v>
      </c>
      <c r="I31">
        <f>IFERROR(__xludf.DUMMYFUNCTION("""COMPUTED_VALUE"""),1529.0)</f>
        <v>1529</v>
      </c>
      <c r="J31">
        <f>IFERROR(__xludf.DUMMYFUNCTION("""COMPUTED_VALUE"""),6.0)</f>
        <v>6</v>
      </c>
      <c r="K31">
        <f>IFERROR(__xludf.DUMMYFUNCTION("""COMPUTED_VALUE"""),159.0)</f>
        <v>159</v>
      </c>
      <c r="L31" t="str">
        <f>IFERROR(__xludf.DUMMYFUNCTION("""COMPUTED_VALUE"""),"VNTRCC75L18F052T")</f>
        <v>VNTRCC75L18F052T</v>
      </c>
      <c r="M31" t="str">
        <f>IFERROR(__xludf.DUMMYFUNCTION("""COMPUTED_VALUE"""),"")</f>
        <v/>
      </c>
      <c r="N31">
        <f>IFERROR(__xludf.DUMMYFUNCTION("""COMPUTED_VALUE"""),42564.0)</f>
        <v>42564</v>
      </c>
      <c r="O31" t="str">
        <f>IFERROR(__xludf.DUMMYFUNCTION("""COMPUTED_VALUE"""),"")</f>
        <v/>
      </c>
    </row>
    <row r="32">
      <c r="A32">
        <f>IFERROR(__xludf.DUMMYFUNCTION("""COMPUTED_VALUE"""),40.6622029)</f>
        <v>40.6622029</v>
      </c>
      <c r="B32">
        <f>IFERROR(__xludf.DUMMYFUNCTION("""COMPUTED_VALUE"""),16.610801)</f>
        <v>16.610801</v>
      </c>
      <c r="C32" t="str">
        <f>IFERROR(__xludf.DUMMYFUNCTION("""COMPUTED_VALUE"""),"Casa Vacanza")</f>
        <v>Casa Vacanza</v>
      </c>
      <c r="D32" t="str">
        <f>IFERROR(__xludf.DUMMYFUNCTION("""COMPUTED_VALUE"""),"APPARTAMENTO MATERA CENTRO")</f>
        <v>APPARTAMENTO MATERA CENTRO</v>
      </c>
      <c r="E32" t="str">
        <f>IFERROR(__xludf.DUMMYFUNCTION("""COMPUTED_VALUE"""),"GERARDO DUBLA")</f>
        <v>GERARDO DUBLA</v>
      </c>
      <c r="F32" t="str">
        <f>IFERROR(__xludf.DUMMYFUNCTION("""COMPUTED_VALUE"""),"VIA LUCANA 113")</f>
        <v>VIA LUCANA 113</v>
      </c>
      <c r="G32" t="str">
        <f>IFERROR(__xludf.DUMMYFUNCTION("""COMPUTED_VALUE"""),"Matera")</f>
        <v>Matera</v>
      </c>
      <c r="H32" t="str">
        <f>IFERROR(__xludf.DUMMYFUNCTION("""COMPUTED_VALUE"""),"Italy")</f>
        <v>Italy</v>
      </c>
      <c r="I32">
        <f>IFERROR(__xludf.DUMMYFUNCTION("""COMPUTED_VALUE"""),2628.0)</f>
        <v>2628</v>
      </c>
      <c r="J32">
        <f>IFERROR(__xludf.DUMMYFUNCTION("""COMPUTED_VALUE"""),6.0)</f>
        <v>6</v>
      </c>
      <c r="K32">
        <f>IFERROR(__xludf.DUMMYFUNCTION("""COMPUTED_VALUE"""),159.0)</f>
        <v>159</v>
      </c>
      <c r="L32" t="str">
        <f>IFERROR(__xludf.DUMMYFUNCTION("""COMPUTED_VALUE"""),"DBLGRD77B05F052E")</f>
        <v>DBLGRD77B05F052E</v>
      </c>
      <c r="M32">
        <f>IFERROR(__xludf.DUMMYFUNCTION("""COMPUTED_VALUE"""),5.0)</f>
        <v>5</v>
      </c>
      <c r="N32">
        <f>IFERROR(__xludf.DUMMYFUNCTION("""COMPUTED_VALUE"""),42377.0)</f>
        <v>42377</v>
      </c>
      <c r="O32" t="str">
        <f>IFERROR(__xludf.DUMMYFUNCTION("""COMPUTED_VALUE"""),"")</f>
        <v/>
      </c>
    </row>
    <row r="33">
      <c r="A33">
        <f>IFERROR(__xludf.DUMMYFUNCTION("""COMPUTED_VALUE"""),40.6641602)</f>
        <v>40.6641602</v>
      </c>
      <c r="B33">
        <f>IFERROR(__xludf.DUMMYFUNCTION("""COMPUTED_VALUE"""),16.6086228)</f>
        <v>16.6086228</v>
      </c>
      <c r="C33" t="str">
        <f>IFERROR(__xludf.DUMMYFUNCTION("""COMPUTED_VALUE"""),"Casa Vacanza")</f>
        <v>Casa Vacanza</v>
      </c>
      <c r="D33" t="str">
        <f>IFERROR(__xludf.DUMMYFUNCTION("""COMPUTED_VALUE"""),"ARY")</f>
        <v>ARY</v>
      </c>
      <c r="E33" t="str">
        <f>IFERROR(__xludf.DUMMYFUNCTION("""COMPUTED_VALUE"""),"COSIMO GRIECO")</f>
        <v>COSIMO GRIECO</v>
      </c>
      <c r="F33" t="str">
        <f>IFERROR(__xludf.DUMMYFUNCTION("""COMPUTED_VALUE"""),"VIA ALESSANDRO VOLTA 1")</f>
        <v>VIA ALESSANDRO VOLTA 1</v>
      </c>
      <c r="G33" t="str">
        <f>IFERROR(__xludf.DUMMYFUNCTION("""COMPUTED_VALUE"""),"Matera")</f>
        <v>Matera</v>
      </c>
      <c r="H33" t="str">
        <f>IFERROR(__xludf.DUMMYFUNCTION("""COMPUTED_VALUE"""),"Italy")</f>
        <v>Italy</v>
      </c>
      <c r="I33">
        <f>IFERROR(__xludf.DUMMYFUNCTION("""COMPUTED_VALUE"""),2904.0)</f>
        <v>2904</v>
      </c>
      <c r="J33">
        <f>IFERROR(__xludf.DUMMYFUNCTION("""COMPUTED_VALUE"""),15.0)</f>
        <v>15</v>
      </c>
      <c r="K33">
        <f>IFERROR(__xludf.DUMMYFUNCTION("""COMPUTED_VALUE"""),159.0)</f>
        <v>159</v>
      </c>
      <c r="L33" t="str">
        <f>IFERROR(__xludf.DUMMYFUNCTION("""COMPUTED_VALUE"""),"GRCCSM68P17G942N")</f>
        <v>GRCCSM68P17G942N</v>
      </c>
      <c r="M33">
        <f>IFERROR(__xludf.DUMMYFUNCTION("""COMPUTED_VALUE"""),5.0)</f>
        <v>5</v>
      </c>
      <c r="N33">
        <f>IFERROR(__xludf.DUMMYFUNCTION("""COMPUTED_VALUE"""),42495.0)</f>
        <v>42495</v>
      </c>
      <c r="O33" t="str">
        <f>IFERROR(__xludf.DUMMYFUNCTION("""COMPUTED_VALUE"""),"")</f>
        <v/>
      </c>
    </row>
    <row r="34">
      <c r="A34">
        <f>IFERROR(__xludf.DUMMYFUNCTION("""COMPUTED_VALUE"""),40.6661359)</f>
        <v>40.6661359</v>
      </c>
      <c r="B34">
        <f>IFERROR(__xludf.DUMMYFUNCTION("""COMPUTED_VALUE"""),16.6117184)</f>
        <v>16.6117184</v>
      </c>
      <c r="C34" t="str">
        <f>IFERROR(__xludf.DUMMYFUNCTION("""COMPUTED_VALUE"""),"Casa Vacanza")</f>
        <v>Casa Vacanza</v>
      </c>
      <c r="D34" t="str">
        <f>IFERROR(__xludf.DUMMYFUNCTION("""COMPUTED_VALUE"""),"BELLA VISTA")</f>
        <v>BELLA VISTA</v>
      </c>
      <c r="E34" t="str">
        <f>IFERROR(__xludf.DUMMYFUNCTION("""COMPUTED_VALUE"""),"ELISABETTA LUPO")</f>
        <v>ELISABETTA LUPO</v>
      </c>
      <c r="F34" t="str">
        <f>IFERROR(__xludf.DUMMYFUNCTION("""COMPUTED_VALUE"""),"VIA MURO 55")</f>
        <v>VIA MURO 55</v>
      </c>
      <c r="G34" t="str">
        <f>IFERROR(__xludf.DUMMYFUNCTION("""COMPUTED_VALUE"""),"Matera")</f>
        <v>Matera</v>
      </c>
      <c r="H34" t="str">
        <f>IFERROR(__xludf.DUMMYFUNCTION("""COMPUTED_VALUE"""),"Italy")</f>
        <v>Italy</v>
      </c>
      <c r="I34">
        <f>IFERROR(__xludf.DUMMYFUNCTION("""COMPUTED_VALUE"""),1428.0)</f>
        <v>1428</v>
      </c>
      <c r="J34">
        <f>IFERROR(__xludf.DUMMYFUNCTION("""COMPUTED_VALUE"""),20.0)</f>
        <v>20</v>
      </c>
      <c r="K34">
        <f>IFERROR(__xludf.DUMMYFUNCTION("""COMPUTED_VALUE"""),159.0)</f>
        <v>159</v>
      </c>
      <c r="L34" t="str">
        <f>IFERROR(__xludf.DUMMYFUNCTION("""COMPUTED_VALUE"""),"LPULBT61C42F052H")</f>
        <v>LPULBT61C42F052H</v>
      </c>
      <c r="M34">
        <f>IFERROR(__xludf.DUMMYFUNCTION("""COMPUTED_VALUE"""),9.0)</f>
        <v>9</v>
      </c>
      <c r="N34">
        <f>IFERROR(__xludf.DUMMYFUNCTION("""COMPUTED_VALUE"""),40982.0)</f>
        <v>40982</v>
      </c>
      <c r="O34" t="str">
        <f>IFERROR(__xludf.DUMMYFUNCTION("""COMPUTED_VALUE"""),"")</f>
        <v/>
      </c>
    </row>
    <row r="35">
      <c r="A35">
        <f>IFERROR(__xludf.DUMMYFUNCTION("""COMPUTED_VALUE"""),40.661685)</f>
        <v>40.661685</v>
      </c>
      <c r="B35">
        <f>IFERROR(__xludf.DUMMYFUNCTION("""COMPUTED_VALUE"""),16.6099972)</f>
        <v>16.6099972</v>
      </c>
      <c r="C35" t="str">
        <f>IFERROR(__xludf.DUMMYFUNCTION("""COMPUTED_VALUE"""),"Casa Vacanza")</f>
        <v>Casa Vacanza</v>
      </c>
      <c r="D35" t="str">
        <f>IFERROR(__xludf.DUMMYFUNCTION("""COMPUTED_VALUE"""),"BIANCALUNA")</f>
        <v>BIANCALUNA</v>
      </c>
      <c r="E35" t="str">
        <f>IFERROR(__xludf.DUMMYFUNCTION("""COMPUTED_VALUE"""),"AMBROSECCHIA PASQUALINA")</f>
        <v>AMBROSECCHIA PASQUALINA</v>
      </c>
      <c r="F35" t="str">
        <f>IFERROR(__xludf.DUMMYFUNCTION("""COMPUTED_VALUE"""),"VIA LUCANA 217")</f>
        <v>VIA LUCANA 217</v>
      </c>
      <c r="G35" t="str">
        <f>IFERROR(__xludf.DUMMYFUNCTION("""COMPUTED_VALUE"""),"Matera")</f>
        <v>Matera</v>
      </c>
      <c r="H35" t="str">
        <f>IFERROR(__xludf.DUMMYFUNCTION("""COMPUTED_VALUE"""),"Italy")</f>
        <v>Italy</v>
      </c>
      <c r="I35">
        <f>IFERROR(__xludf.DUMMYFUNCTION("""COMPUTED_VALUE"""),3865.0)</f>
        <v>3865</v>
      </c>
      <c r="J35">
        <f>IFERROR(__xludf.DUMMYFUNCTION("""COMPUTED_VALUE"""),29.0)</f>
        <v>29</v>
      </c>
      <c r="K35">
        <f>IFERROR(__xludf.DUMMYFUNCTION("""COMPUTED_VALUE"""),159.0)</f>
        <v>159</v>
      </c>
      <c r="L35" t="str">
        <f>IFERROR(__xludf.DUMMYFUNCTION("""COMPUTED_VALUE"""),"MBRMPS63D54F052L")</f>
        <v>MBRMPS63D54F052L</v>
      </c>
      <c r="M35">
        <f>IFERROR(__xludf.DUMMYFUNCTION("""COMPUTED_VALUE"""),6.0)</f>
        <v>6</v>
      </c>
      <c r="N35">
        <f>IFERROR(__xludf.DUMMYFUNCTION("""COMPUTED_VALUE"""),42409.0)</f>
        <v>42409</v>
      </c>
      <c r="O35" t="str">
        <f>IFERROR(__xludf.DUMMYFUNCTION("""COMPUTED_VALUE"""),"")</f>
        <v/>
      </c>
    </row>
    <row r="36">
      <c r="A36">
        <f>IFERROR(__xludf.DUMMYFUNCTION("""COMPUTED_VALUE"""),40.6624345014068)</f>
        <v>40.6624345</v>
      </c>
      <c r="B36">
        <f>IFERROR(__xludf.DUMMYFUNCTION("""COMPUTED_VALUE"""),16.606154797568)</f>
        <v>16.6061548</v>
      </c>
      <c r="C36" t="str">
        <f>IFERROR(__xludf.DUMMYFUNCTION("""COMPUTED_VALUE"""),"Casa Vacanza")</f>
        <v>Casa Vacanza</v>
      </c>
      <c r="D36" t="str">
        <f>IFERROR(__xludf.DUMMYFUNCTION("""COMPUTED_VALUE"""),"CAPELVENERE")</f>
        <v>CAPELVENERE</v>
      </c>
      <c r="E36" t="str">
        <f>IFERROR(__xludf.DUMMYFUNCTION("""COMPUTED_VALUE"""),"GIUSEPPE MORELLI")</f>
        <v>GIUSEPPE MORELLI</v>
      </c>
      <c r="F36" t="str">
        <f>IFERROR(__xludf.DUMMYFUNCTION("""COMPUTED_VALUE"""),"VIA LA NERA 53")</f>
        <v>VIA LA NERA 53</v>
      </c>
      <c r="G36" t="str">
        <f>IFERROR(__xludf.DUMMYFUNCTION("""COMPUTED_VALUE"""),"Matera")</f>
        <v>Matera</v>
      </c>
      <c r="H36" t="str">
        <f>IFERROR(__xludf.DUMMYFUNCTION("""COMPUTED_VALUE"""),"Italy")</f>
        <v>Italy</v>
      </c>
      <c r="I36">
        <f>IFERROR(__xludf.DUMMYFUNCTION("""COMPUTED_VALUE"""),21.0)</f>
        <v>21</v>
      </c>
      <c r="J36">
        <f>IFERROR(__xludf.DUMMYFUNCTION("""COMPUTED_VALUE"""),7.0)</f>
        <v>7</v>
      </c>
      <c r="K36">
        <f>IFERROR(__xludf.DUMMYFUNCTION("""COMPUTED_VALUE"""),103.0)</f>
        <v>103</v>
      </c>
      <c r="L36" t="str">
        <f>IFERROR(__xludf.DUMMYFUNCTION("""COMPUTED_VALUE"""),"MRLGPP89L25F052W")</f>
        <v>MRLGPP89L25F052W</v>
      </c>
      <c r="M36">
        <f>IFERROR(__xludf.DUMMYFUNCTION("""COMPUTED_VALUE"""),4.0)</f>
        <v>4</v>
      </c>
      <c r="N36">
        <f>IFERROR(__xludf.DUMMYFUNCTION("""COMPUTED_VALUE"""),42690.0)</f>
        <v>42690</v>
      </c>
      <c r="O36" t="str">
        <f>IFERROR(__xludf.DUMMYFUNCTION("""COMPUTED_VALUE"""),"")</f>
        <v/>
      </c>
    </row>
    <row r="37">
      <c r="A37">
        <f>IFERROR(__xludf.DUMMYFUNCTION("""COMPUTED_VALUE"""),40.6684195)</f>
        <v>40.6684195</v>
      </c>
      <c r="B37">
        <f>IFERROR(__xludf.DUMMYFUNCTION("""COMPUTED_VALUE"""),16.6113478)</f>
        <v>16.6113478</v>
      </c>
      <c r="C37" t="str">
        <f>IFERROR(__xludf.DUMMYFUNCTION("""COMPUTED_VALUE"""),"Casa Vacanza")</f>
        <v>Casa Vacanza</v>
      </c>
      <c r="D37" t="str">
        <f>IFERROR(__xludf.DUMMYFUNCTION("""COMPUTED_VALUE"""),"CAPPARIS")</f>
        <v>CAPPARIS</v>
      </c>
      <c r="E37" t="str">
        <f>IFERROR(__xludf.DUMMYFUNCTION("""COMPUTED_VALUE"""),"RUSSO MASSIMILIANO")</f>
        <v>RUSSO MASSIMILIANO</v>
      </c>
      <c r="F37" t="str">
        <f>IFERROR(__xludf.DUMMYFUNCTION("""COMPUTED_VALUE"""),"VIA MADONNA DELLE VIRTU' 27")</f>
        <v>VIA MADONNA DELLE VIRTU' 27</v>
      </c>
      <c r="G37" t="str">
        <f>IFERROR(__xludf.DUMMYFUNCTION("""COMPUTED_VALUE"""),"Matera")</f>
        <v>Matera</v>
      </c>
      <c r="H37" t="str">
        <f>IFERROR(__xludf.DUMMYFUNCTION("""COMPUTED_VALUE"""),"Italy")</f>
        <v>Italy</v>
      </c>
      <c r="I37">
        <f>IFERROR(__xludf.DUMMYFUNCTION("""COMPUTED_VALUE"""),1057.0)</f>
        <v>1057</v>
      </c>
      <c r="J37">
        <f>IFERROR(__xludf.DUMMYFUNCTION("""COMPUTED_VALUE"""),2.0)</f>
        <v>2</v>
      </c>
      <c r="K37">
        <f>IFERROR(__xludf.DUMMYFUNCTION("""COMPUTED_VALUE"""),159.0)</f>
        <v>159</v>
      </c>
      <c r="L37" t="str">
        <f>IFERROR(__xludf.DUMMYFUNCTION("""COMPUTED_VALUE"""),"RSSMSM73H07L049J")</f>
        <v>RSSMSM73H07L049J</v>
      </c>
      <c r="M37">
        <f>IFERROR(__xludf.DUMMYFUNCTION("""COMPUTED_VALUE"""),2.0)</f>
        <v>2</v>
      </c>
      <c r="N37">
        <f>IFERROR(__xludf.DUMMYFUNCTION("""COMPUTED_VALUE"""),43035.0)</f>
        <v>43035</v>
      </c>
      <c r="O37" t="str">
        <f>IFERROR(__xludf.DUMMYFUNCTION("""COMPUTED_VALUE"""),"")</f>
        <v/>
      </c>
    </row>
    <row r="38">
      <c r="A38">
        <f>IFERROR(__xludf.DUMMYFUNCTION("""COMPUTED_VALUE"""),40.6645928568633)</f>
        <v>40.66459286</v>
      </c>
      <c r="B38">
        <f>IFERROR(__xludf.DUMMYFUNCTION("""COMPUTED_VALUE"""),16.6005614918103)</f>
        <v>16.60056149</v>
      </c>
      <c r="C38" t="str">
        <f>IFERROR(__xludf.DUMMYFUNCTION("""COMPUTED_VALUE"""),"Casa Vacanza")</f>
        <v>Casa Vacanza</v>
      </c>
      <c r="D38" t="str">
        <f>IFERROR(__xludf.DUMMYFUNCTION("""COMPUTED_VALUE"""),"CAPPELLUTI GUEST HOUSE")</f>
        <v>CAPPELLUTI GUEST HOUSE</v>
      </c>
      <c r="E38" t="str">
        <f>IFERROR(__xludf.DUMMYFUNCTION("""COMPUTED_VALUE"""),"MUSILLO ROSSANO")</f>
        <v>MUSILLO ROSSANO</v>
      </c>
      <c r="F38" t="str">
        <f>IFERROR(__xludf.DUMMYFUNCTION("""COMPUTED_VALUE"""),"N.D. CAPPELLUTI 47 3 PIANO")</f>
        <v>N.D. CAPPELLUTI 47 3 PIANO</v>
      </c>
      <c r="G38" t="str">
        <f>IFERROR(__xludf.DUMMYFUNCTION("""COMPUTED_VALUE"""),"Matera")</f>
        <v>Matera</v>
      </c>
      <c r="H38" t="str">
        <f>IFERROR(__xludf.DUMMYFUNCTION("""COMPUTED_VALUE"""),"Italy")</f>
        <v>Italy</v>
      </c>
      <c r="I38">
        <f>IFERROR(__xludf.DUMMYFUNCTION("""COMPUTED_VALUE"""),449.0)</f>
        <v>449</v>
      </c>
      <c r="J38">
        <f>IFERROR(__xludf.DUMMYFUNCTION("""COMPUTED_VALUE"""),28.0)</f>
        <v>28</v>
      </c>
      <c r="K38">
        <f>IFERROR(__xludf.DUMMYFUNCTION("""COMPUTED_VALUE"""),71.0)</f>
        <v>71</v>
      </c>
      <c r="L38" t="str">
        <f>IFERROR(__xludf.DUMMYFUNCTION("""COMPUTED_VALUE"""),"MSLRSN90C01F052U")</f>
        <v>MSLRSN90C01F052U</v>
      </c>
      <c r="M38">
        <f>IFERROR(__xludf.DUMMYFUNCTION("""COMPUTED_VALUE"""),4.0)</f>
        <v>4</v>
      </c>
      <c r="N38">
        <f>IFERROR(__xludf.DUMMYFUNCTION("""COMPUTED_VALUE"""),42957.0)</f>
        <v>42957</v>
      </c>
      <c r="O38" t="str">
        <f>IFERROR(__xludf.DUMMYFUNCTION("""COMPUTED_VALUE"""),"")</f>
        <v/>
      </c>
    </row>
    <row r="39">
      <c r="A39">
        <f>IFERROR(__xludf.DUMMYFUNCTION("""COMPUTED_VALUE"""),40.697225)</f>
        <v>40.697225</v>
      </c>
      <c r="B39">
        <f>IFERROR(__xludf.DUMMYFUNCTION("""COMPUTED_VALUE"""),16.529445)</f>
        <v>16.529445</v>
      </c>
      <c r="C39" t="str">
        <f>IFERROR(__xludf.DUMMYFUNCTION("""COMPUTED_VALUE"""),"Casa Vacanza")</f>
        <v>Casa Vacanza</v>
      </c>
      <c r="D39" t="str">
        <f>IFERROR(__xludf.DUMMYFUNCTION("""COMPUTED_VALUE"""),"CARDINALE")</f>
        <v>CARDINALE</v>
      </c>
      <c r="E39" t="str">
        <f>IFERROR(__xludf.DUMMYFUNCTION("""COMPUTED_VALUE"""),"CARDINALE ROSA")</f>
        <v>CARDINALE ROSA</v>
      </c>
      <c r="F39" t="str">
        <f>IFERROR(__xludf.DUMMYFUNCTION("""COMPUTED_VALUE"""),"CONTRADA LE MATINELLE")</f>
        <v>CONTRADA LE MATINELLE</v>
      </c>
      <c r="G39" t="str">
        <f>IFERROR(__xludf.DUMMYFUNCTION("""COMPUTED_VALUE"""),"Matera")</f>
        <v>Matera</v>
      </c>
      <c r="H39" t="str">
        <f>IFERROR(__xludf.DUMMYFUNCTION("""COMPUTED_VALUE"""),"Italy")</f>
        <v>Italy</v>
      </c>
      <c r="I39">
        <f>IFERROR(__xludf.DUMMYFUNCTION("""COMPUTED_VALUE"""),333.0)</f>
        <v>333</v>
      </c>
      <c r="J39">
        <f>IFERROR(__xludf.DUMMYFUNCTION("""COMPUTED_VALUE"""),3.0)</f>
        <v>3</v>
      </c>
      <c r="K39">
        <f>IFERROR(__xludf.DUMMYFUNCTION("""COMPUTED_VALUE"""),24.0)</f>
        <v>24</v>
      </c>
      <c r="L39" t="str">
        <f>IFERROR(__xludf.DUMMYFUNCTION("""COMPUTED_VALUE"""),"CRDRSO68M63F052M")</f>
        <v>CRDRSO68M63F052M</v>
      </c>
      <c r="M39">
        <f>IFERROR(__xludf.DUMMYFUNCTION("""COMPUTED_VALUE"""),8.0)</f>
        <v>8</v>
      </c>
      <c r="N39">
        <f>IFERROR(__xludf.DUMMYFUNCTION("""COMPUTED_VALUE"""),42447.0)</f>
        <v>42447</v>
      </c>
      <c r="O39" t="str">
        <f>IFERROR(__xludf.DUMMYFUNCTION("""COMPUTED_VALUE"""),"")</f>
        <v/>
      </c>
    </row>
    <row r="40">
      <c r="A40">
        <f>IFERROR(__xludf.DUMMYFUNCTION("""COMPUTED_VALUE"""),40.6765806)</f>
        <v>40.6765806</v>
      </c>
      <c r="B40">
        <f>IFERROR(__xludf.DUMMYFUNCTION("""COMPUTED_VALUE"""),16.5974695)</f>
        <v>16.5974695</v>
      </c>
      <c r="C40" t="str">
        <f>IFERROR(__xludf.DUMMYFUNCTION("""COMPUTED_VALUE"""),"Casa Vacanza")</f>
        <v>Casa Vacanza</v>
      </c>
      <c r="D40" t="str">
        <f>IFERROR(__xludf.DUMMYFUNCTION("""COMPUTED_VALUE"""),"CARPE DIEM")</f>
        <v>CARPE DIEM</v>
      </c>
      <c r="E40" t="str">
        <f>IFERROR(__xludf.DUMMYFUNCTION("""COMPUTED_VALUE"""),"DELL'OLIO CRISTINA")</f>
        <v>DELL'OLIO CRISTINA</v>
      </c>
      <c r="F40" t="str">
        <f>IFERROR(__xludf.DUMMYFUNCTION("""COMPUTED_VALUE"""),"VIA SAN PARDO 41 2°PIANO")</f>
        <v>VIA SAN PARDO 41 2°PIANO</v>
      </c>
      <c r="G40" t="str">
        <f>IFERROR(__xludf.DUMMYFUNCTION("""COMPUTED_VALUE"""),"Matera")</f>
        <v>Matera</v>
      </c>
      <c r="H40" t="str">
        <f>IFERROR(__xludf.DUMMYFUNCTION("""COMPUTED_VALUE"""),"Italy")</f>
        <v>Italy</v>
      </c>
      <c r="I40">
        <f>IFERROR(__xludf.DUMMYFUNCTION("""COMPUTED_VALUE"""),4646.0)</f>
        <v>4646</v>
      </c>
      <c r="J40">
        <f>IFERROR(__xludf.DUMMYFUNCTION("""COMPUTED_VALUE"""),5.0)</f>
        <v>5</v>
      </c>
      <c r="K40">
        <f>IFERROR(__xludf.DUMMYFUNCTION("""COMPUTED_VALUE"""),159.0)</f>
        <v>159</v>
      </c>
      <c r="L40" t="str">
        <f>IFERROR(__xludf.DUMMYFUNCTION("""COMPUTED_VALUE"""),"DLLCST75H69C134F")</f>
        <v>DLLCST75H69C134F</v>
      </c>
      <c r="M40">
        <f>IFERROR(__xludf.DUMMYFUNCTION("""COMPUTED_VALUE"""),4.0)</f>
        <v>4</v>
      </c>
      <c r="N40">
        <f>IFERROR(__xludf.DUMMYFUNCTION("""COMPUTED_VALUE"""),42552.0)</f>
        <v>42552</v>
      </c>
      <c r="O40" t="str">
        <f>IFERROR(__xludf.DUMMYFUNCTION("""COMPUTED_VALUE"""),"")</f>
        <v/>
      </c>
    </row>
    <row r="41">
      <c r="A41">
        <f>IFERROR(__xludf.DUMMYFUNCTION("""COMPUTED_VALUE"""),40.6620822)</f>
        <v>40.6620822</v>
      </c>
      <c r="B41">
        <f>IFERROR(__xludf.DUMMYFUNCTION("""COMPUTED_VALUE"""),16.6084449)</f>
        <v>16.6084449</v>
      </c>
      <c r="C41" t="str">
        <f>IFERROR(__xludf.DUMMYFUNCTION("""COMPUTED_VALUE"""),"Casa Vacanza")</f>
        <v>Casa Vacanza</v>
      </c>
      <c r="D41" t="str">
        <f>IFERROR(__xludf.DUMMYFUNCTION("""COMPUTED_VALUE"""),"CASA ARMONIA")</f>
        <v>CASA ARMONIA</v>
      </c>
      <c r="E41" t="str">
        <f>IFERROR(__xludf.DUMMYFUNCTION("""COMPUTED_VALUE"""),"PENNACCHIA NICOLA")</f>
        <v>PENNACCHIA NICOLA</v>
      </c>
      <c r="F41" t="str">
        <f>IFERROR(__xludf.DUMMYFUNCTION("""COMPUTED_VALUE"""),"VIA P.G. MINOZZI 17")</f>
        <v>VIA P.G. MINOZZI 17</v>
      </c>
      <c r="G41" t="str">
        <f>IFERROR(__xludf.DUMMYFUNCTION("""COMPUTED_VALUE"""),"Matera")</f>
        <v>Matera</v>
      </c>
      <c r="H41" t="str">
        <f>IFERROR(__xludf.DUMMYFUNCTION("""COMPUTED_VALUE"""),"Italy")</f>
        <v>Italy</v>
      </c>
      <c r="I41">
        <f>IFERROR(__xludf.DUMMYFUNCTION("""COMPUTED_VALUE"""),456.0)</f>
        <v>456</v>
      </c>
      <c r="J41">
        <f>IFERROR(__xludf.DUMMYFUNCTION("""COMPUTED_VALUE"""),21.0)</f>
        <v>21</v>
      </c>
      <c r="K41">
        <f>IFERROR(__xludf.DUMMYFUNCTION("""COMPUTED_VALUE"""),103.0)</f>
        <v>103</v>
      </c>
      <c r="L41" t="str">
        <f>IFERROR(__xludf.DUMMYFUNCTION("""COMPUTED_VALUE"""),"PNNNCL51D06L049I")</f>
        <v>PNNNCL51D06L049I</v>
      </c>
      <c r="M41">
        <f>IFERROR(__xludf.DUMMYFUNCTION("""COMPUTED_VALUE"""),8.0)</f>
        <v>8</v>
      </c>
      <c r="N41">
        <f>IFERROR(__xludf.DUMMYFUNCTION("""COMPUTED_VALUE"""),42702.0)</f>
        <v>42702</v>
      </c>
      <c r="O41" t="str">
        <f>IFERROR(__xludf.DUMMYFUNCTION("""COMPUTED_VALUE"""),"")</f>
        <v/>
      </c>
    </row>
    <row r="42">
      <c r="A42">
        <f>IFERROR(__xludf.DUMMYFUNCTION("""COMPUTED_VALUE"""),40.6626457)</f>
        <v>40.6626457</v>
      </c>
      <c r="B42">
        <f>IFERROR(__xludf.DUMMYFUNCTION("""COMPUTED_VALUE"""),16.607052)</f>
        <v>16.607052</v>
      </c>
      <c r="C42" t="str">
        <f>IFERROR(__xludf.DUMMYFUNCTION("""COMPUTED_VALUE"""),"Casa Vacanza")</f>
        <v>Casa Vacanza</v>
      </c>
      <c r="D42" t="str">
        <f>IFERROR(__xludf.DUMMYFUNCTION("""COMPUTED_VALUE"""),"CASA CHARLOT")</f>
        <v>CASA CHARLOT</v>
      </c>
      <c r="E42" t="str">
        <f>IFERROR(__xludf.DUMMYFUNCTION("""COMPUTED_VALUE"""),"NICOLA MONTEMURRO")</f>
        <v>NICOLA MONTEMURRO</v>
      </c>
      <c r="F42" t="str">
        <f>IFERROR(__xludf.DUMMYFUNCTION("""COMPUTED_VALUE"""),"VIA SERRAO 71")</f>
        <v>VIA SERRAO 71</v>
      </c>
      <c r="G42" t="str">
        <f>IFERROR(__xludf.DUMMYFUNCTION("""COMPUTED_VALUE"""),"Matera")</f>
        <v>Matera</v>
      </c>
      <c r="H42" t="str">
        <f>IFERROR(__xludf.DUMMYFUNCTION("""COMPUTED_VALUE"""),"Italy")</f>
        <v>Italy</v>
      </c>
      <c r="I42">
        <f>IFERROR(__xludf.DUMMYFUNCTION("""COMPUTED_VALUE"""),322.0)</f>
        <v>322</v>
      </c>
      <c r="J42">
        <f>IFERROR(__xludf.DUMMYFUNCTION("""COMPUTED_VALUE"""),15.0)</f>
        <v>15</v>
      </c>
      <c r="K42">
        <f>IFERROR(__xludf.DUMMYFUNCTION("""COMPUTED_VALUE"""),103.0)</f>
        <v>103</v>
      </c>
      <c r="L42" t="str">
        <f>IFERROR(__xludf.DUMMYFUNCTION("""COMPUTED_VALUE"""),"MNTNCL83E07F052I")</f>
        <v>MNTNCL83E07F052I</v>
      </c>
      <c r="M42">
        <f>IFERROR(__xludf.DUMMYFUNCTION("""COMPUTED_VALUE"""),3.0)</f>
        <v>3</v>
      </c>
      <c r="N42">
        <f>IFERROR(__xludf.DUMMYFUNCTION("""COMPUTED_VALUE"""),42352.0)</f>
        <v>42352</v>
      </c>
      <c r="O42" t="str">
        <f>IFERROR(__xludf.DUMMYFUNCTION("""COMPUTED_VALUE"""),"")</f>
        <v/>
      </c>
    </row>
    <row r="43">
      <c r="A43">
        <f>IFERROR(__xludf.DUMMYFUNCTION("""COMPUTED_VALUE"""),40.6635629)</f>
        <v>40.6635629</v>
      </c>
      <c r="B43">
        <f>IFERROR(__xludf.DUMMYFUNCTION("""COMPUTED_VALUE"""),16.6113848)</f>
        <v>16.6113848</v>
      </c>
      <c r="C43" t="str">
        <f>IFERROR(__xludf.DUMMYFUNCTION("""COMPUTED_VALUE"""),"Casa Vacanza")</f>
        <v>Casa Vacanza</v>
      </c>
      <c r="D43" t="str">
        <f>IFERROR(__xludf.DUMMYFUNCTION("""COMPUTED_VALUE"""),"CASA CONTINI")</f>
        <v>CASA CONTINI</v>
      </c>
      <c r="E43" t="str">
        <f>IFERROR(__xludf.DUMMYFUNCTION("""COMPUTED_VALUE"""),"IACOVONE MARIO")</f>
        <v>IACOVONE MARIO</v>
      </c>
      <c r="F43" t="str">
        <f>IFERROR(__xludf.DUMMYFUNCTION("""COMPUTED_VALUE"""),"VIA BRUNO BUOZZI 81 83")</f>
        <v>VIA BRUNO BUOZZI 81 83</v>
      </c>
      <c r="G43" t="str">
        <f>IFERROR(__xludf.DUMMYFUNCTION("""COMPUTED_VALUE"""),"Matera")</f>
        <v>Matera</v>
      </c>
      <c r="H43" t="str">
        <f>IFERROR(__xludf.DUMMYFUNCTION("""COMPUTED_VALUE"""),"Italy")</f>
        <v>Italy</v>
      </c>
      <c r="I43">
        <f>IFERROR(__xludf.DUMMYFUNCTION("""COMPUTED_VALUE"""),2073.0)</f>
        <v>2073</v>
      </c>
      <c r="J43">
        <f>IFERROR(__xludf.DUMMYFUNCTION("""COMPUTED_VALUE"""),6.0)</f>
        <v>6</v>
      </c>
      <c r="K43">
        <f>IFERROR(__xludf.DUMMYFUNCTION("""COMPUTED_VALUE"""),159.0)</f>
        <v>159</v>
      </c>
      <c r="L43" t="str">
        <f>IFERROR(__xludf.DUMMYFUNCTION("""COMPUTED_VALUE"""),"CVNMRA54B09F052Q")</f>
        <v>CVNMRA54B09F052Q</v>
      </c>
      <c r="M43">
        <f>IFERROR(__xludf.DUMMYFUNCTION("""COMPUTED_VALUE"""),4.0)</f>
        <v>4</v>
      </c>
      <c r="N43">
        <f>IFERROR(__xludf.DUMMYFUNCTION("""COMPUTED_VALUE"""),40541.0)</f>
        <v>40541</v>
      </c>
      <c r="O43" t="str">
        <f>IFERROR(__xludf.DUMMYFUNCTION("""COMPUTED_VALUE"""),"")</f>
        <v/>
      </c>
    </row>
    <row r="44">
      <c r="A44">
        <f>IFERROR(__xludf.DUMMYFUNCTION("""COMPUTED_VALUE"""),40.6746919)</f>
        <v>40.6746919</v>
      </c>
      <c r="B44">
        <f>IFERROR(__xludf.DUMMYFUNCTION("""COMPUTED_VALUE"""),16.5996105)</f>
        <v>16.5996105</v>
      </c>
      <c r="C44" t="str">
        <f>IFERROR(__xludf.DUMMYFUNCTION("""COMPUTED_VALUE"""),"Casa Vacanza")</f>
        <v>Casa Vacanza</v>
      </c>
      <c r="D44" t="str">
        <f>IFERROR(__xludf.DUMMYFUNCTION("""COMPUTED_VALUE"""),"CASA DEDA")</f>
        <v>CASA DEDA</v>
      </c>
      <c r="E44" t="str">
        <f>IFERROR(__xludf.DUMMYFUNCTION("""COMPUTED_VALUE"""),"D'ERCOLE GIACINTA")</f>
        <v>D'ERCOLE GIACINTA</v>
      </c>
      <c r="F44" t="str">
        <f>IFERROR(__xludf.DUMMYFUNCTION("""COMPUTED_VALUE"""),"VIA ISTRIA 7")</f>
        <v>VIA ISTRIA 7</v>
      </c>
      <c r="G44" t="str">
        <f>IFERROR(__xludf.DUMMYFUNCTION("""COMPUTED_VALUE"""),"Matera")</f>
        <v>Matera</v>
      </c>
      <c r="H44" t="str">
        <f>IFERROR(__xludf.DUMMYFUNCTION("""COMPUTED_VALUE"""),"Italy")</f>
        <v>Italy</v>
      </c>
      <c r="I44">
        <f>IFERROR(__xludf.DUMMYFUNCTION("""COMPUTED_VALUE"""),4798.0)</f>
        <v>4798</v>
      </c>
      <c r="J44">
        <f>IFERROR(__xludf.DUMMYFUNCTION("""COMPUTED_VALUE"""),14.0)</f>
        <v>14</v>
      </c>
      <c r="K44">
        <f>IFERROR(__xludf.DUMMYFUNCTION("""COMPUTED_VALUE"""),159.0)</f>
        <v>159</v>
      </c>
      <c r="L44" t="str">
        <f>IFERROR(__xludf.DUMMYFUNCTION("""COMPUTED_VALUE"""),"DRCGNT70R48F052I")</f>
        <v>DRCGNT70R48F052I</v>
      </c>
      <c r="M44">
        <f>IFERROR(__xludf.DUMMYFUNCTION("""COMPUTED_VALUE"""),4.0)</f>
        <v>4</v>
      </c>
      <c r="N44">
        <f>IFERROR(__xludf.DUMMYFUNCTION("""COMPUTED_VALUE"""),42360.0)</f>
        <v>42360</v>
      </c>
      <c r="O44" t="str">
        <f>IFERROR(__xludf.DUMMYFUNCTION("""COMPUTED_VALUE"""),"")</f>
        <v/>
      </c>
    </row>
    <row r="45">
      <c r="A45">
        <f>IFERROR(__xludf.DUMMYFUNCTION("""COMPUTED_VALUE"""),40.6794698)</f>
        <v>40.6794698</v>
      </c>
      <c r="B45">
        <f>IFERROR(__xludf.DUMMYFUNCTION("""COMPUTED_VALUE"""),16.5817841)</f>
        <v>16.5817841</v>
      </c>
      <c r="C45" t="str">
        <f>IFERROR(__xludf.DUMMYFUNCTION("""COMPUTED_VALUE"""),"Casa Vacanza")</f>
        <v>Casa Vacanza</v>
      </c>
      <c r="D45" t="str">
        <f>IFERROR(__xludf.DUMMYFUNCTION("""COMPUTED_VALUE"""),"CASA DEI PUZZLE")</f>
        <v>CASA DEI PUZZLE</v>
      </c>
      <c r="E45" t="str">
        <f>IFERROR(__xludf.DUMMYFUNCTION("""COMPUTED_VALUE"""),"BRAIA MARIA TERESA")</f>
        <v>BRAIA MARIA TERESA</v>
      </c>
      <c r="F45" t="str">
        <f>IFERROR(__xludf.DUMMYFUNCTION("""COMPUTED_VALUE"""),"VIA BARI 79")</f>
        <v>VIA BARI 79</v>
      </c>
      <c r="G45" t="str">
        <f>IFERROR(__xludf.DUMMYFUNCTION("""COMPUTED_VALUE"""),"Matera")</f>
        <v>Matera</v>
      </c>
      <c r="H45" t="str">
        <f>IFERROR(__xludf.DUMMYFUNCTION("""COMPUTED_VALUE"""),"Italy")</f>
        <v>Italy</v>
      </c>
      <c r="I45">
        <f>IFERROR(__xludf.DUMMYFUNCTION("""COMPUTED_VALUE"""),867.0)</f>
        <v>867</v>
      </c>
      <c r="J45">
        <f>IFERROR(__xludf.DUMMYFUNCTION("""COMPUTED_VALUE"""),10.0)</f>
        <v>10</v>
      </c>
      <c r="K45">
        <f>IFERROR(__xludf.DUMMYFUNCTION("""COMPUTED_VALUE"""),68.0)</f>
        <v>68</v>
      </c>
      <c r="L45" t="str">
        <f>IFERROR(__xludf.DUMMYFUNCTION("""COMPUTED_VALUE"""),"BRAMTR69S42F052S")</f>
        <v>BRAMTR69S42F052S</v>
      </c>
      <c r="M45">
        <f>IFERROR(__xludf.DUMMYFUNCTION("""COMPUTED_VALUE"""),4.0)</f>
        <v>4</v>
      </c>
      <c r="N45">
        <f>IFERROR(__xludf.DUMMYFUNCTION("""COMPUTED_VALUE"""),42293.0)</f>
        <v>42293</v>
      </c>
      <c r="O45" t="str">
        <f>IFERROR(__xludf.DUMMYFUNCTION("""COMPUTED_VALUE"""),"")</f>
        <v/>
      </c>
    </row>
    <row r="46">
      <c r="A46">
        <f>IFERROR(__xludf.DUMMYFUNCTION("""COMPUTED_VALUE"""),40.6639544)</f>
        <v>40.6639544</v>
      </c>
      <c r="B46">
        <f>IFERROR(__xludf.DUMMYFUNCTION("""COMPUTED_VALUE"""),16.6111861)</f>
        <v>16.6111861</v>
      </c>
      <c r="C46" t="str">
        <f>IFERROR(__xludf.DUMMYFUNCTION("""COMPUTED_VALUE"""),"Casa Vacanza")</f>
        <v>Casa Vacanza</v>
      </c>
      <c r="D46" t="str">
        <f>IFERROR(__xludf.DUMMYFUNCTION("""COMPUTED_VALUE"""),"CASA DEL SOLE")</f>
        <v>CASA DEL SOLE</v>
      </c>
      <c r="E46" t="str">
        <f>IFERROR(__xludf.DUMMYFUNCTION("""COMPUTED_VALUE"""),"LIONETTI FELICE LUCIO")</f>
        <v>LIONETTI FELICE LUCIO</v>
      </c>
      <c r="F46" t="str">
        <f>IFERROR(__xludf.DUMMYFUNCTION("""COMPUTED_VALUE"""),"VIA SAN PIETRO CAVEOSO 47- 47B-48")</f>
        <v>VIA SAN PIETRO CAVEOSO 47- 47B-48</v>
      </c>
      <c r="G46" t="str">
        <f>IFERROR(__xludf.DUMMYFUNCTION("""COMPUTED_VALUE"""),"Matera")</f>
        <v>Matera</v>
      </c>
      <c r="H46" t="str">
        <f>IFERROR(__xludf.DUMMYFUNCTION("""COMPUTED_VALUE"""),"Italy")</f>
        <v>Italy</v>
      </c>
      <c r="I46">
        <f>IFERROR(__xludf.DUMMYFUNCTION("""COMPUTED_VALUE"""),1561.0)</f>
        <v>1561</v>
      </c>
      <c r="J46">
        <f>IFERROR(__xludf.DUMMYFUNCTION("""COMPUTED_VALUE"""),4.0)</f>
        <v>4</v>
      </c>
      <c r="K46">
        <f>IFERROR(__xludf.DUMMYFUNCTION("""COMPUTED_VALUE"""),159.0)</f>
        <v>159</v>
      </c>
      <c r="L46" t="str">
        <f>IFERROR(__xludf.DUMMYFUNCTION("""COMPUTED_VALUE"""),"lntfcl55t13f052e")</f>
        <v>lntfcl55t13f052e</v>
      </c>
      <c r="M46">
        <f>IFERROR(__xludf.DUMMYFUNCTION("""COMPUTED_VALUE"""),5.0)</f>
        <v>5</v>
      </c>
      <c r="N46">
        <f>IFERROR(__xludf.DUMMYFUNCTION("""COMPUTED_VALUE"""),42501.0)</f>
        <v>42501</v>
      </c>
      <c r="O46" t="str">
        <f>IFERROR(__xludf.DUMMYFUNCTION("""COMPUTED_VALUE"""),"")</f>
        <v/>
      </c>
    </row>
    <row r="47">
      <c r="A47">
        <f>IFERROR(__xludf.DUMMYFUNCTION("""COMPUTED_VALUE"""),40.6744462699862)</f>
        <v>40.67444627</v>
      </c>
      <c r="B47">
        <f>IFERROR(__xludf.DUMMYFUNCTION("""COMPUTED_VALUE"""),16.6030889677803)</f>
        <v>16.60308897</v>
      </c>
      <c r="C47" t="str">
        <f>IFERROR(__xludf.DUMMYFUNCTION("""COMPUTED_VALUE"""),"Casa Vacanza")</f>
        <v>Casa Vacanza</v>
      </c>
      <c r="D47" t="str">
        <f>IFERROR(__xludf.DUMMYFUNCTION("""COMPUTED_VALUE"""),"CASA DI FRANCESCA")</f>
        <v>CASA DI FRANCESCA</v>
      </c>
      <c r="E47" t="str">
        <f>IFERROR(__xludf.DUMMYFUNCTION("""COMPUTED_VALUE"""),"DINISI ROSA")</f>
        <v>DINISI ROSA</v>
      </c>
      <c r="F47" t="str">
        <f>IFERROR(__xludf.DUMMYFUNCTION("""COMPUTED_VALUE"""),"VIA SICILIA 13")</f>
        <v>VIA SICILIA 13</v>
      </c>
      <c r="G47" t="str">
        <f>IFERROR(__xludf.DUMMYFUNCTION("""COMPUTED_VALUE"""),"Matera")</f>
        <v>Matera</v>
      </c>
      <c r="H47" t="str">
        <f>IFERROR(__xludf.DUMMYFUNCTION("""COMPUTED_VALUE"""),"Italy")</f>
        <v>Italy</v>
      </c>
      <c r="I47">
        <f>IFERROR(__xludf.DUMMYFUNCTION("""COMPUTED_VALUE"""),4879.0)</f>
        <v>4879</v>
      </c>
      <c r="J47">
        <f>IFERROR(__xludf.DUMMYFUNCTION("""COMPUTED_VALUE"""),10.0)</f>
        <v>10</v>
      </c>
      <c r="K47">
        <f>IFERROR(__xludf.DUMMYFUNCTION("""COMPUTED_VALUE"""),159.0)</f>
        <v>159</v>
      </c>
      <c r="L47" t="str">
        <f>IFERROR(__xludf.DUMMYFUNCTION("""COMPUTED_VALUE"""),"DNSRSO66H47I954V")</f>
        <v>DNSRSO66H47I954V</v>
      </c>
      <c r="M47">
        <f>IFERROR(__xludf.DUMMYFUNCTION("""COMPUTED_VALUE"""),4.0)</f>
        <v>4</v>
      </c>
      <c r="N47">
        <f>IFERROR(__xludf.DUMMYFUNCTION("""COMPUTED_VALUE"""),43175.0)</f>
        <v>43175</v>
      </c>
      <c r="O47" t="str">
        <f>IFERROR(__xludf.DUMMYFUNCTION("""COMPUTED_VALUE"""),"")</f>
        <v/>
      </c>
    </row>
    <row r="48">
      <c r="A48">
        <f>IFERROR(__xludf.DUMMYFUNCTION("""COMPUTED_VALUE"""),40.6651548854753)</f>
        <v>40.66515489</v>
      </c>
      <c r="B48">
        <f>IFERROR(__xludf.DUMMYFUNCTION("""COMPUTED_VALUE"""),16.604238383054)</f>
        <v>16.60423838</v>
      </c>
      <c r="C48" t="str">
        <f>IFERROR(__xludf.DUMMYFUNCTION("""COMPUTED_VALUE"""),"Casa Vacanza")</f>
        <v>Casa Vacanza</v>
      </c>
      <c r="D48" t="str">
        <f>IFERROR(__xludf.DUMMYFUNCTION("""COMPUTED_VALUE"""),"CASA DI LILLA")</f>
        <v>CASA DI LILLA</v>
      </c>
      <c r="E48" t="str">
        <f>IFERROR(__xludf.DUMMYFUNCTION("""COMPUTED_VALUE"""),"SANROCCO MICHAELA")</f>
        <v>SANROCCO MICHAELA</v>
      </c>
      <c r="F48" t="str">
        <f>IFERROR(__xludf.DUMMYFUNCTION("""COMPUTED_VALUE"""),"VIA PASSARELLI 35")</f>
        <v>VIA PASSARELLI 35</v>
      </c>
      <c r="G48" t="str">
        <f>IFERROR(__xludf.DUMMYFUNCTION("""COMPUTED_VALUE"""),"Matera")</f>
        <v>Matera</v>
      </c>
      <c r="H48" t="str">
        <f>IFERROR(__xludf.DUMMYFUNCTION("""COMPUTED_VALUE"""),"Italy")</f>
        <v>Italy</v>
      </c>
      <c r="I48">
        <f>IFERROR(__xludf.DUMMYFUNCTION("""COMPUTED_VALUE"""),2260.0)</f>
        <v>2260</v>
      </c>
      <c r="J48">
        <f>IFERROR(__xludf.DUMMYFUNCTION("""COMPUTED_VALUE"""),40.0)</f>
        <v>40</v>
      </c>
      <c r="K48">
        <f>IFERROR(__xludf.DUMMYFUNCTION("""COMPUTED_VALUE"""),71.0)</f>
        <v>71</v>
      </c>
      <c r="L48" t="str">
        <f>IFERROR(__xludf.DUMMYFUNCTION("""COMPUTED_VALUE"""),"SNRMHL92M44F052N")</f>
        <v>SNRMHL92M44F052N</v>
      </c>
      <c r="M48">
        <f>IFERROR(__xludf.DUMMYFUNCTION("""COMPUTED_VALUE"""),3.0)</f>
        <v>3</v>
      </c>
      <c r="N48">
        <f>IFERROR(__xludf.DUMMYFUNCTION("""COMPUTED_VALUE"""),42577.0)</f>
        <v>42577</v>
      </c>
      <c r="O48" t="str">
        <f>IFERROR(__xludf.DUMMYFUNCTION("""COMPUTED_VALUE"""),"")</f>
        <v/>
      </c>
    </row>
    <row r="49">
      <c r="A49">
        <f>IFERROR(__xludf.DUMMYFUNCTION("""COMPUTED_VALUE"""),40.6464322949434)</f>
        <v>40.64643229</v>
      </c>
      <c r="B49">
        <f>IFERROR(__xludf.DUMMYFUNCTION("""COMPUTED_VALUE"""),16.6208357651724)</f>
        <v>16.62083577</v>
      </c>
      <c r="C49" t="str">
        <f>IFERROR(__xludf.DUMMYFUNCTION("""COMPUTED_VALUE"""),"Casa Vacanza")</f>
        <v>Casa Vacanza</v>
      </c>
      <c r="D49" t="str">
        <f>IFERROR(__xludf.DUMMYFUNCTION("""COMPUTED_VALUE"""),"LA CASA DI RITA")</f>
        <v>LA CASA DI RITA</v>
      </c>
      <c r="E49" t="str">
        <f>IFERROR(__xludf.DUMMYFUNCTION("""COMPUTED_VALUE"""),"DE BELLIS RITA")</f>
        <v>DE BELLIS RITA</v>
      </c>
      <c r="F49" t="str">
        <f>IFERROR(__xludf.DUMMYFUNCTION("""COMPUTED_VALUE"""),"VIA RUTIGLIANO 20")</f>
        <v>VIA RUTIGLIANO 20</v>
      </c>
      <c r="G49" t="str">
        <f>IFERROR(__xludf.DUMMYFUNCTION("""COMPUTED_VALUE"""),"Matera")</f>
        <v>Matera</v>
      </c>
      <c r="H49" t="str">
        <f>IFERROR(__xludf.DUMMYFUNCTION("""COMPUTED_VALUE"""),"Italy")</f>
        <v>Italy</v>
      </c>
      <c r="I49">
        <f>IFERROR(__xludf.DUMMYFUNCTION("""COMPUTED_VALUE"""),597.0)</f>
        <v>597</v>
      </c>
      <c r="J49">
        <f>IFERROR(__xludf.DUMMYFUNCTION("""COMPUTED_VALUE"""),12.0)</f>
        <v>12</v>
      </c>
      <c r="K49">
        <f>IFERROR(__xludf.DUMMYFUNCTION("""COMPUTED_VALUE"""),106.0)</f>
        <v>106</v>
      </c>
      <c r="L49" t="str">
        <f>IFERROR(__xludf.DUMMYFUNCTION("""COMPUTED_VALUE"""),"DBLRTI84A53F052Z")</f>
        <v>DBLRTI84A53F052Z</v>
      </c>
      <c r="M49">
        <f>IFERROR(__xludf.DUMMYFUNCTION("""COMPUTED_VALUE"""),4.0)</f>
        <v>4</v>
      </c>
      <c r="N49">
        <f>IFERROR(__xludf.DUMMYFUNCTION("""COMPUTED_VALUE"""),43090.0)</f>
        <v>43090</v>
      </c>
      <c r="O49">
        <f>IFERROR(__xludf.DUMMYFUNCTION("""COMPUTED_VALUE"""),1748.0)</f>
        <v>1748</v>
      </c>
    </row>
    <row r="50">
      <c r="A50">
        <f>IFERROR(__xludf.DUMMYFUNCTION("""COMPUTED_VALUE"""),40.6702248969708)</f>
        <v>40.6702249</v>
      </c>
      <c r="B50">
        <f>IFERROR(__xludf.DUMMYFUNCTION("""COMPUTED_VALUE"""),16.6085193857962)</f>
        <v>16.60851939</v>
      </c>
      <c r="C50" t="str">
        <f>IFERROR(__xludf.DUMMYFUNCTION("""COMPUTED_VALUE"""),"Casa Vacanza")</f>
        <v>Casa Vacanza</v>
      </c>
      <c r="D50" t="str">
        <f>IFERROR(__xludf.DUMMYFUNCTION("""COMPUTED_VALUE"""),"CASA DU MATNER")</f>
        <v>CASA DU MATNER</v>
      </c>
      <c r="E50" t="str">
        <f>IFERROR(__xludf.DUMMYFUNCTION("""COMPUTED_VALUE"""),"BRUNA CANCELLIERE")</f>
        <v>BRUNA CANCELLIERE</v>
      </c>
      <c r="F50" t="str">
        <f>IFERROR(__xludf.DUMMYFUNCTION("""COMPUTED_VALUE"""),"VIA PIAVE 31")</f>
        <v>VIA PIAVE 31</v>
      </c>
      <c r="G50" t="str">
        <f>IFERROR(__xludf.DUMMYFUNCTION("""COMPUTED_VALUE"""),"Matera")</f>
        <v>Matera</v>
      </c>
      <c r="H50" t="str">
        <f>IFERROR(__xludf.DUMMYFUNCTION("""COMPUTED_VALUE"""),"Italy")</f>
        <v>Italy</v>
      </c>
      <c r="I50">
        <f>IFERROR(__xludf.DUMMYFUNCTION("""COMPUTED_VALUE"""),3575.0)</f>
        <v>3575</v>
      </c>
      <c r="J50">
        <f>IFERROR(__xludf.DUMMYFUNCTION("""COMPUTED_VALUE"""),25.0)</f>
        <v>25</v>
      </c>
      <c r="K50">
        <f>IFERROR(__xludf.DUMMYFUNCTION("""COMPUTED_VALUE"""),159.0)</f>
        <v>159</v>
      </c>
      <c r="L50" t="str">
        <f>IFERROR(__xludf.DUMMYFUNCTION("""COMPUTED_VALUE"""),"PRSBGI77R09F052V")</f>
        <v>PRSBGI77R09F052V</v>
      </c>
      <c r="M50">
        <f>IFERROR(__xludf.DUMMYFUNCTION("""COMPUTED_VALUE"""),2.0)</f>
        <v>2</v>
      </c>
      <c r="N50">
        <f>IFERROR(__xludf.DUMMYFUNCTION("""COMPUTED_VALUE"""),42308.0)</f>
        <v>42308</v>
      </c>
      <c r="O50" t="str">
        <f>IFERROR(__xludf.DUMMYFUNCTION("""COMPUTED_VALUE"""),"")</f>
        <v/>
      </c>
    </row>
    <row r="51">
      <c r="A51">
        <f>IFERROR(__xludf.DUMMYFUNCTION("""COMPUTED_VALUE"""),40.6518392554487)</f>
        <v>40.65183926</v>
      </c>
      <c r="B51">
        <f>IFERROR(__xludf.DUMMYFUNCTION("""COMPUTED_VALUE"""),16.6178548007249)</f>
        <v>16.6178548</v>
      </c>
      <c r="C51" t="str">
        <f>IFERROR(__xludf.DUMMYFUNCTION("""COMPUTED_VALUE"""),"Casa Vacanza")</f>
        <v>Casa Vacanza</v>
      </c>
      <c r="D51" t="str">
        <f>IFERROR(__xludf.DUMMYFUNCTION("""COMPUTED_VALUE"""),"CASA ELA")</f>
        <v>CASA ELA</v>
      </c>
      <c r="E51" t="str">
        <f>IFERROR(__xludf.DUMMYFUNCTION("""COMPUTED_VALUE"""),"SURIANO GIANPAOLO")</f>
        <v>SURIANO GIANPAOLO</v>
      </c>
      <c r="F51" t="str">
        <f>IFERROR(__xludf.DUMMYFUNCTION("""COMPUTED_VALUE"""),"VIA PARADISO 22")</f>
        <v>VIA PARADISO 22</v>
      </c>
      <c r="G51" t="str">
        <f>IFERROR(__xludf.DUMMYFUNCTION("""COMPUTED_VALUE"""),"Matera ")</f>
        <v>Matera </v>
      </c>
      <c r="H51" t="str">
        <f>IFERROR(__xludf.DUMMYFUNCTION("""COMPUTED_VALUE"""),"Italy")</f>
        <v>Italy</v>
      </c>
      <c r="I51">
        <f>IFERROR(__xludf.DUMMYFUNCTION("""COMPUTED_VALUE"""),15.0)</f>
        <v>15</v>
      </c>
      <c r="J51">
        <f>IFERROR(__xludf.DUMMYFUNCTION("""COMPUTED_VALUE"""),27.0)</f>
        <v>27</v>
      </c>
      <c r="K51">
        <f>IFERROR(__xludf.DUMMYFUNCTION("""COMPUTED_VALUE"""),105.0)</f>
        <v>105</v>
      </c>
      <c r="L51" t="str">
        <f>IFERROR(__xludf.DUMMYFUNCTION("""COMPUTED_VALUE"""),"SRNGPL78E20F052S")</f>
        <v>SRNGPL78E20F052S</v>
      </c>
      <c r="M51">
        <f>IFERROR(__xludf.DUMMYFUNCTION("""COMPUTED_VALUE"""),2.0)</f>
        <v>2</v>
      </c>
      <c r="N51">
        <f>IFERROR(__xludf.DUMMYFUNCTION("""COMPUTED_VALUE"""),43306.0)</f>
        <v>43306</v>
      </c>
      <c r="O51" t="str">
        <f>IFERROR(__xludf.DUMMYFUNCTION("""COMPUTED_VALUE"""),"")</f>
        <v/>
      </c>
    </row>
    <row r="52">
      <c r="A52">
        <f>IFERROR(__xludf.DUMMYFUNCTION("""COMPUTED_VALUE"""),40.666601)</f>
        <v>40.666601</v>
      </c>
      <c r="B52">
        <f>IFERROR(__xludf.DUMMYFUNCTION("""COMPUTED_VALUE"""),16.608135)</f>
        <v>16.608135</v>
      </c>
      <c r="C52" t="str">
        <f>IFERROR(__xludf.DUMMYFUNCTION("""COMPUTED_VALUE"""),"Casa Vacanza")</f>
        <v>Casa Vacanza</v>
      </c>
      <c r="D52" t="str">
        <f>IFERROR(__xludf.DUMMYFUNCTION("""COMPUTED_VALUE"""),"CASA ELENA")</f>
        <v>CASA ELENA</v>
      </c>
      <c r="E52" t="str">
        <f>IFERROR(__xludf.DUMMYFUNCTION("""COMPUTED_VALUE"""),"COLUCCI LUIGI")</f>
        <v>COLUCCI LUIGI</v>
      </c>
      <c r="F52" t="str">
        <f>IFERROR(__xludf.DUMMYFUNCTION("""COMPUTED_VALUE"""),"VIA FIORENTINI 26")</f>
        <v>VIA FIORENTINI 26</v>
      </c>
      <c r="G52" t="str">
        <f>IFERROR(__xludf.DUMMYFUNCTION("""COMPUTED_VALUE"""),"Matera")</f>
        <v>Matera</v>
      </c>
      <c r="H52" t="str">
        <f>IFERROR(__xludf.DUMMYFUNCTION("""COMPUTED_VALUE"""),"Italy")</f>
        <v>Italy</v>
      </c>
      <c r="I52">
        <f>IFERROR(__xludf.DUMMYFUNCTION("""COMPUTED_VALUE"""),708.0)</f>
        <v>708</v>
      </c>
      <c r="J52">
        <f>IFERROR(__xludf.DUMMYFUNCTION("""COMPUTED_VALUE"""),6.0)</f>
        <v>6</v>
      </c>
      <c r="K52">
        <f>IFERROR(__xludf.DUMMYFUNCTION("""COMPUTED_VALUE"""),159.0)</f>
        <v>159</v>
      </c>
      <c r="L52" t="str">
        <f>IFERROR(__xludf.DUMMYFUNCTION("""COMPUTED_VALUE"""),"CLCLGU50R02F052F")</f>
        <v>CLCLGU50R02F052F</v>
      </c>
      <c r="M52">
        <f>IFERROR(__xludf.DUMMYFUNCTION("""COMPUTED_VALUE"""),4.0)</f>
        <v>4</v>
      </c>
      <c r="N52">
        <f>IFERROR(__xludf.DUMMYFUNCTION("""COMPUTED_VALUE"""),42746.0)</f>
        <v>42746</v>
      </c>
      <c r="O52" t="str">
        <f>IFERROR(__xludf.DUMMYFUNCTION("""COMPUTED_VALUE"""),"")</f>
        <v/>
      </c>
    </row>
    <row r="53">
      <c r="A53">
        <f>IFERROR(__xludf.DUMMYFUNCTION("""COMPUTED_VALUE"""),40.671736)</f>
        <v>40.671736</v>
      </c>
      <c r="B53">
        <f>IFERROR(__xludf.DUMMYFUNCTION("""COMPUTED_VALUE"""),16.608556)</f>
        <v>16.608556</v>
      </c>
      <c r="C53" t="str">
        <f>IFERROR(__xludf.DUMMYFUNCTION("""COMPUTED_VALUE"""),"Casa Vacanza")</f>
        <v>Casa Vacanza</v>
      </c>
      <c r="D53" t="str">
        <f>IFERROR(__xludf.DUMMYFUNCTION("""COMPUTED_VALUE"""),"CASA FESTA ")</f>
        <v>CASA FESTA </v>
      </c>
      <c r="E53" t="str">
        <f>IFERROR(__xludf.DUMMYFUNCTION("""COMPUTED_VALUE"""),"ROCCO FESTA ")</f>
        <v>ROCCO FESTA </v>
      </c>
      <c r="F53" t="str">
        <f>IFERROR(__xludf.DUMMYFUNCTION("""COMPUTED_VALUE"""),"COLLE TIMMARI")</f>
        <v>COLLE TIMMARI</v>
      </c>
      <c r="G53" t="str">
        <f>IFERROR(__xludf.DUMMYFUNCTION("""COMPUTED_VALUE"""),"Matera")</f>
        <v>Matera</v>
      </c>
      <c r="H53" t="str">
        <f>IFERROR(__xludf.DUMMYFUNCTION("""COMPUTED_VALUE"""),"Italy")</f>
        <v>Italy</v>
      </c>
      <c r="I53" t="str">
        <f>IFERROR(__xludf.DUMMYFUNCTION("""COMPUTED_VALUE"""),"")</f>
        <v/>
      </c>
      <c r="J53" t="str">
        <f>IFERROR(__xludf.DUMMYFUNCTION("""COMPUTED_VALUE"""),"")</f>
        <v/>
      </c>
      <c r="K53" t="str">
        <f>IFERROR(__xludf.DUMMYFUNCTION("""COMPUTED_VALUE"""),"")</f>
        <v/>
      </c>
      <c r="L53" t="str">
        <f>IFERROR(__xludf.DUMMYFUNCTION("""COMPUTED_VALUE"""),"FSTRCC66E30F052P")</f>
        <v>FSTRCC66E30F052P</v>
      </c>
      <c r="M53">
        <f>IFERROR(__xludf.DUMMYFUNCTION("""COMPUTED_VALUE"""),6.0)</f>
        <v>6</v>
      </c>
      <c r="N53">
        <f>IFERROR(__xludf.DUMMYFUNCTION("""COMPUTED_VALUE"""),41835.0)</f>
        <v>41835</v>
      </c>
      <c r="O53" t="str">
        <f>IFERROR(__xludf.DUMMYFUNCTION("""COMPUTED_VALUE"""),"")</f>
        <v/>
      </c>
    </row>
    <row r="54">
      <c r="A54">
        <f>IFERROR(__xludf.DUMMYFUNCTION("""COMPUTED_VALUE"""),40.6708283284429)</f>
        <v>40.67082833</v>
      </c>
      <c r="B54">
        <f>IFERROR(__xludf.DUMMYFUNCTION("""COMPUTED_VALUE"""),16.5721090959639)</f>
        <v>16.5721091</v>
      </c>
      <c r="C54" t="str">
        <f>IFERROR(__xludf.DUMMYFUNCTION("""COMPUTED_VALUE"""),"Casa Vacanza")</f>
        <v>Casa Vacanza</v>
      </c>
      <c r="D54" t="str">
        <f>IFERROR(__xludf.DUMMYFUNCTION("""COMPUTED_VALUE"""),"CASA G e A")</f>
        <v>CASA G e A</v>
      </c>
      <c r="E54" t="str">
        <f>IFERROR(__xludf.DUMMYFUNCTION("""COMPUTED_VALUE"""),"GIUSEPPINA GIRARDI")</f>
        <v>GIUSEPPINA GIRARDI</v>
      </c>
      <c r="F54" t="str">
        <f>IFERROR(__xludf.DUMMYFUNCTION("""COMPUTED_VALUE"""),"VIA PRIMO MAGGIO")</f>
        <v>VIA PRIMO MAGGIO</v>
      </c>
      <c r="G54" t="str">
        <f>IFERROR(__xludf.DUMMYFUNCTION("""COMPUTED_VALUE"""),"Matera")</f>
        <v>Matera</v>
      </c>
      <c r="H54" t="str">
        <f>IFERROR(__xludf.DUMMYFUNCTION("""COMPUTED_VALUE"""),"Italy")</f>
        <v>Italy</v>
      </c>
      <c r="I54">
        <f>IFERROR(__xludf.DUMMYFUNCTION("""COMPUTED_VALUE"""),974.0)</f>
        <v>974</v>
      </c>
      <c r="J54">
        <f>IFERROR(__xludf.DUMMYFUNCTION("""COMPUTED_VALUE"""),6.0)</f>
        <v>6</v>
      </c>
      <c r="K54">
        <f>IFERROR(__xludf.DUMMYFUNCTION("""COMPUTED_VALUE"""),67.0)</f>
        <v>67</v>
      </c>
      <c r="L54" t="str">
        <f>IFERROR(__xludf.DUMMYFUNCTION("""COMPUTED_VALUE"""),"GRRGPP79A51E038T")</f>
        <v>GRRGPP79A51E038T</v>
      </c>
      <c r="M54" t="str">
        <f>IFERROR(__xludf.DUMMYFUNCTION("""COMPUTED_VALUE"""),"")</f>
        <v/>
      </c>
      <c r="N54">
        <f>IFERROR(__xludf.DUMMYFUNCTION("""COMPUTED_VALUE"""),42461.0)</f>
        <v>42461</v>
      </c>
      <c r="O54" t="str">
        <f>IFERROR(__xludf.DUMMYFUNCTION("""COMPUTED_VALUE"""),"")</f>
        <v/>
      </c>
    </row>
    <row r="55">
      <c r="A55">
        <f>IFERROR(__xludf.DUMMYFUNCTION("""COMPUTED_VALUE"""),40.6708283284429)</f>
        <v>40.67082833</v>
      </c>
      <c r="B55">
        <f>IFERROR(__xludf.DUMMYFUNCTION("""COMPUTED_VALUE"""),16.5721090959639)</f>
        <v>16.5721091</v>
      </c>
      <c r="C55" t="str">
        <f>IFERROR(__xludf.DUMMYFUNCTION("""COMPUTED_VALUE"""),"Casa Vacanza")</f>
        <v>Casa Vacanza</v>
      </c>
      <c r="D55" t="str">
        <f>IFERROR(__xludf.DUMMYFUNCTION("""COMPUTED_VALUE"""),"CASA GeA")</f>
        <v>CASA GeA</v>
      </c>
      <c r="E55" t="str">
        <f>IFERROR(__xludf.DUMMYFUNCTION("""COMPUTED_VALUE"""),"GIRARDI GIUSEPPINA")</f>
        <v>GIRARDI GIUSEPPINA</v>
      </c>
      <c r="F55" t="str">
        <f>IFERROR(__xludf.DUMMYFUNCTION("""COMPUTED_VALUE"""),"VIA PRIMO MAGGIO")</f>
        <v>VIA PRIMO MAGGIO</v>
      </c>
      <c r="G55" t="str">
        <f>IFERROR(__xludf.DUMMYFUNCTION("""COMPUTED_VALUE"""),"Matera")</f>
        <v>Matera</v>
      </c>
      <c r="H55" t="str">
        <f>IFERROR(__xludf.DUMMYFUNCTION("""COMPUTED_VALUE"""),"Italy")</f>
        <v>Italy</v>
      </c>
      <c r="I55">
        <f>IFERROR(__xludf.DUMMYFUNCTION("""COMPUTED_VALUE"""),974.0)</f>
        <v>974</v>
      </c>
      <c r="J55">
        <f>IFERROR(__xludf.DUMMYFUNCTION("""COMPUTED_VALUE"""),17.0)</f>
        <v>17</v>
      </c>
      <c r="K55">
        <f>IFERROR(__xludf.DUMMYFUNCTION("""COMPUTED_VALUE"""),67.0)</f>
        <v>67</v>
      </c>
      <c r="L55" t="str">
        <f>IFERROR(__xludf.DUMMYFUNCTION("""COMPUTED_VALUE"""),"GRRGPP79A51E038T")</f>
        <v>GRRGPP79A51E038T</v>
      </c>
      <c r="M55">
        <f>IFERROR(__xludf.DUMMYFUNCTION("""COMPUTED_VALUE"""),6.0)</f>
        <v>6</v>
      </c>
      <c r="N55" t="str">
        <f>IFERROR(__xludf.DUMMYFUNCTION("""COMPUTED_VALUE"""),"")</f>
        <v/>
      </c>
      <c r="O55" t="str">
        <f>IFERROR(__xludf.DUMMYFUNCTION("""COMPUTED_VALUE"""),"")</f>
        <v/>
      </c>
    </row>
    <row r="56">
      <c r="A56">
        <f>IFERROR(__xludf.DUMMYFUNCTION("""COMPUTED_VALUE"""),40.666495)</f>
        <v>40.666495</v>
      </c>
      <c r="B56">
        <f>IFERROR(__xludf.DUMMYFUNCTION("""COMPUTED_VALUE"""),16.611328)</f>
        <v>16.611328</v>
      </c>
      <c r="C56" t="str">
        <f>IFERROR(__xludf.DUMMYFUNCTION("""COMPUTED_VALUE"""),"Casa Vacanza")</f>
        <v>Casa Vacanza</v>
      </c>
      <c r="D56" t="str">
        <f>IFERROR(__xludf.DUMMYFUNCTION("""COMPUTED_VALUE"""),"CASA GIURA LONGO")</f>
        <v>CASA GIURA LONGO</v>
      </c>
      <c r="E56" t="str">
        <f>IFERROR(__xludf.DUMMYFUNCTION("""COMPUTED_VALUE"""),"GIUSEPPE GIURA LONGO")</f>
        <v>GIUSEPPE GIURA LONGO</v>
      </c>
      <c r="F56" t="str">
        <f>IFERROR(__xludf.DUMMYFUNCTION("""COMPUTED_VALUE"""),"PIAZZA DUOMO 2")</f>
        <v>PIAZZA DUOMO 2</v>
      </c>
      <c r="G56" t="str">
        <f>IFERROR(__xludf.DUMMYFUNCTION("""COMPUTED_VALUE"""),"Matera")</f>
        <v>Matera</v>
      </c>
      <c r="H56" t="str">
        <f>IFERROR(__xludf.DUMMYFUNCTION("""COMPUTED_VALUE"""),"Italy")</f>
        <v>Italy</v>
      </c>
      <c r="I56">
        <f>IFERROR(__xludf.DUMMYFUNCTION("""COMPUTED_VALUE"""),819.0)</f>
        <v>819</v>
      </c>
      <c r="J56">
        <f>IFERROR(__xludf.DUMMYFUNCTION("""COMPUTED_VALUE"""),6.0)</f>
        <v>6</v>
      </c>
      <c r="K56">
        <f>IFERROR(__xludf.DUMMYFUNCTION("""COMPUTED_VALUE"""),159.0)</f>
        <v>159</v>
      </c>
      <c r="L56" t="str">
        <f>IFERROR(__xludf.DUMMYFUNCTION("""COMPUTED_VALUE"""),"GRLGPP59P01F052X")</f>
        <v>GRLGPP59P01F052X</v>
      </c>
      <c r="M56">
        <f>IFERROR(__xludf.DUMMYFUNCTION("""COMPUTED_VALUE"""),3.0)</f>
        <v>3</v>
      </c>
      <c r="N56">
        <f>IFERROR(__xludf.DUMMYFUNCTION("""COMPUTED_VALUE"""),41071.0)</f>
        <v>41071</v>
      </c>
      <c r="O56" t="str">
        <f>IFERROR(__xludf.DUMMYFUNCTION("""COMPUTED_VALUE"""),"")</f>
        <v/>
      </c>
    </row>
    <row r="57">
      <c r="A57">
        <f>IFERROR(__xludf.DUMMYFUNCTION("""COMPUTED_VALUE"""),40.665133067386)</f>
        <v>40.66513307</v>
      </c>
      <c r="B57">
        <f>IFERROR(__xludf.DUMMYFUNCTION("""COMPUTED_VALUE"""),16.5942614437058)</f>
        <v>16.59426144</v>
      </c>
      <c r="C57" t="str">
        <f>IFERROR(__xludf.DUMMYFUNCTION("""COMPUTED_VALUE"""),"Casa Vacanza")</f>
        <v>Casa Vacanza</v>
      </c>
      <c r="D57" t="str">
        <f>IFERROR(__xludf.DUMMYFUNCTION("""COMPUTED_VALUE"""),"CASA GRANDE")</f>
        <v>CASA GRANDE</v>
      </c>
      <c r="E57" t="str">
        <f>IFERROR(__xludf.DUMMYFUNCTION("""COMPUTED_VALUE"""),"RICCIARDI BRUNA")</f>
        <v>RICCIARDI BRUNA</v>
      </c>
      <c r="F57" t="str">
        <f>IFERROR(__xludf.DUMMYFUNCTION("""COMPUTED_VALUE"""),"VIALE EUROPA 18")</f>
        <v>VIALE EUROPA 18</v>
      </c>
      <c r="G57" t="str">
        <f>IFERROR(__xludf.DUMMYFUNCTION("""COMPUTED_VALUE"""),"Matera")</f>
        <v>Matera</v>
      </c>
      <c r="H57" t="str">
        <f>IFERROR(__xludf.DUMMYFUNCTION("""COMPUTED_VALUE"""),"Italy")</f>
        <v>Italy</v>
      </c>
      <c r="I57">
        <f>IFERROR(__xludf.DUMMYFUNCTION("""COMPUTED_VALUE"""),802.0)</f>
        <v>802</v>
      </c>
      <c r="J57">
        <f>IFERROR(__xludf.DUMMYFUNCTION("""COMPUTED_VALUE"""),1.0)</f>
        <v>1</v>
      </c>
      <c r="K57">
        <f>IFERROR(__xludf.DUMMYFUNCTION("""COMPUTED_VALUE"""),71.0)</f>
        <v>71</v>
      </c>
      <c r="L57" t="str">
        <f>IFERROR(__xludf.DUMMYFUNCTION("""COMPUTED_VALUE"""),"RCCBRN58P60F052G")</f>
        <v>RCCBRN58P60F052G</v>
      </c>
      <c r="M57">
        <f>IFERROR(__xludf.DUMMYFUNCTION("""COMPUTED_VALUE"""),7.0)</f>
        <v>7</v>
      </c>
      <c r="N57">
        <f>IFERROR(__xludf.DUMMYFUNCTION("""COMPUTED_VALUE"""),42628.0)</f>
        <v>42628</v>
      </c>
      <c r="O57" t="str">
        <f>IFERROR(__xludf.DUMMYFUNCTION("""COMPUTED_VALUE"""),"")</f>
        <v/>
      </c>
    </row>
    <row r="58">
      <c r="A58">
        <f>IFERROR(__xludf.DUMMYFUNCTION("""COMPUTED_VALUE"""),40.6492777986371)</f>
        <v>40.6492778</v>
      </c>
      <c r="B58">
        <f>IFERROR(__xludf.DUMMYFUNCTION("""COMPUTED_VALUE"""),16.6165507123084)</f>
        <v>16.61655071</v>
      </c>
      <c r="C58" t="str">
        <f>IFERROR(__xludf.DUMMYFUNCTION("""COMPUTED_VALUE"""),"Casa Vacanza")</f>
        <v>Casa Vacanza</v>
      </c>
      <c r="D58" t="str">
        <f>IFERROR(__xludf.DUMMYFUNCTION("""COMPUTED_VALUE"""),"CASA INCLINATA")</f>
        <v>CASA INCLINATA</v>
      </c>
      <c r="E58" t="str">
        <f>IFERROR(__xludf.DUMMYFUNCTION("""COMPUTED_VALUE"""),"FRANCESCO ANGELILLO")</f>
        <v>FRANCESCO ANGELILLO</v>
      </c>
      <c r="F58" t="str">
        <f>IFERROR(__xludf.DUMMYFUNCTION("""COMPUTED_VALUE"""),"VIA MONTESCAGLIOSO 20")</f>
        <v>VIA MONTESCAGLIOSO 20</v>
      </c>
      <c r="G58" t="str">
        <f>IFERROR(__xludf.DUMMYFUNCTION("""COMPUTED_VALUE"""),"Matera")</f>
        <v>Matera</v>
      </c>
      <c r="H58" t="str">
        <f>IFERROR(__xludf.DUMMYFUNCTION("""COMPUTED_VALUE"""),"Italy")</f>
        <v>Italy</v>
      </c>
      <c r="I58">
        <f>IFERROR(__xludf.DUMMYFUNCTION("""COMPUTED_VALUE"""),34.0)</f>
        <v>34</v>
      </c>
      <c r="J58">
        <f>IFERROR(__xludf.DUMMYFUNCTION("""COMPUTED_VALUE"""),64.0)</f>
        <v>64</v>
      </c>
      <c r="K58">
        <f>IFERROR(__xludf.DUMMYFUNCTION("""COMPUTED_VALUE"""),104.0)</f>
        <v>104</v>
      </c>
      <c r="L58" t="str">
        <f>IFERROR(__xludf.DUMMYFUNCTION("""COMPUTED_VALUE"""),"NGLFNC47A30F6370")</f>
        <v>NGLFNC47A30F6370</v>
      </c>
      <c r="M58">
        <f>IFERROR(__xludf.DUMMYFUNCTION("""COMPUTED_VALUE"""),6.0)</f>
        <v>6</v>
      </c>
      <c r="N58" t="str">
        <f>IFERROR(__xludf.DUMMYFUNCTION("""COMPUTED_VALUE"""),"")</f>
        <v/>
      </c>
      <c r="O58" t="str">
        <f>IFERROR(__xludf.DUMMYFUNCTION("""COMPUTED_VALUE"""),"")</f>
        <v/>
      </c>
    </row>
    <row r="59">
      <c r="A59">
        <f>IFERROR(__xludf.DUMMYFUNCTION("""COMPUTED_VALUE"""),40.6672354)</f>
        <v>40.6672354</v>
      </c>
      <c r="B59">
        <f>IFERROR(__xludf.DUMMYFUNCTION("""COMPUTED_VALUE"""),16.6036485)</f>
        <v>16.6036485</v>
      </c>
      <c r="C59" t="str">
        <f>IFERROR(__xludf.DUMMYFUNCTION("""COMPUTED_VALUE"""),"Casa Vacanza")</f>
        <v>Casa Vacanza</v>
      </c>
      <c r="D59" t="str">
        <f>IFERROR(__xludf.DUMMYFUNCTION("""COMPUTED_VALUE"""),"CASA LAURA")</f>
        <v>CASA LAURA</v>
      </c>
      <c r="E59" t="str">
        <f>IFERROR(__xludf.DUMMYFUNCTION("""COMPUTED_VALUE"""),"LASALVIA MARIA ANTONIETTA")</f>
        <v>LASALVIA MARIA ANTONIETTA</v>
      </c>
      <c r="F59" t="str">
        <f>IFERROR(__xludf.DUMMYFUNCTION("""COMPUTED_VALUE"""),"VIA ROMA 62")</f>
        <v>VIA ROMA 62</v>
      </c>
      <c r="G59" t="str">
        <f>IFERROR(__xludf.DUMMYFUNCTION("""COMPUTED_VALUE"""),"Matera")</f>
        <v>Matera</v>
      </c>
      <c r="H59" t="str">
        <f>IFERROR(__xludf.DUMMYFUNCTION("""COMPUTED_VALUE"""),"Italy")</f>
        <v>Italy</v>
      </c>
      <c r="I59">
        <f>IFERROR(__xludf.DUMMYFUNCTION("""COMPUTED_VALUE"""),3772.0)</f>
        <v>3772</v>
      </c>
      <c r="J59">
        <f>IFERROR(__xludf.DUMMYFUNCTION("""COMPUTED_VALUE"""),11.0)</f>
        <v>11</v>
      </c>
      <c r="K59">
        <f>IFERROR(__xludf.DUMMYFUNCTION("""COMPUTED_VALUE"""),159.0)</f>
        <v>159</v>
      </c>
      <c r="L59" t="str">
        <f>IFERROR(__xludf.DUMMYFUNCTION("""COMPUTED_VALUE"""),"LSLMNT70T41F052Y")</f>
        <v>LSLMNT70T41F052Y</v>
      </c>
      <c r="M59">
        <f>IFERROR(__xludf.DUMMYFUNCTION("""COMPUTED_VALUE"""),2.0)</f>
        <v>2</v>
      </c>
      <c r="N59">
        <f>IFERROR(__xludf.DUMMYFUNCTION("""COMPUTED_VALUE"""),42452.0)</f>
        <v>42452</v>
      </c>
      <c r="O59" t="str">
        <f>IFERROR(__xludf.DUMMYFUNCTION("""COMPUTED_VALUE"""),"")</f>
        <v/>
      </c>
    </row>
    <row r="60">
      <c r="A60">
        <f>IFERROR(__xludf.DUMMYFUNCTION("""COMPUTED_VALUE"""),40.6687045)</f>
        <v>40.6687045</v>
      </c>
      <c r="B60">
        <f>IFERROR(__xludf.DUMMYFUNCTION("""COMPUTED_VALUE"""),16.5975361)</f>
        <v>16.5975361</v>
      </c>
      <c r="C60" t="str">
        <f>IFERROR(__xludf.DUMMYFUNCTION("""COMPUTED_VALUE"""),"Casa Vacanza")</f>
        <v>Casa Vacanza</v>
      </c>
      <c r="D60" t="str">
        <f>IFERROR(__xludf.DUMMYFUNCTION("""COMPUTED_VALUE"""),"CASA MA-J'")</f>
        <v>CASA MA-J'</v>
      </c>
      <c r="E60" t="str">
        <f>IFERROR(__xludf.DUMMYFUNCTION("""COMPUTED_VALUE"""),"TATARANNI PIETRO PAOLO")</f>
        <v>TATARANNI PIETRO PAOLO</v>
      </c>
      <c r="F60" t="str">
        <f>IFERROR(__xludf.DUMMYFUNCTION("""COMPUTED_VALUE"""),"VIA EINAUDI 87")</f>
        <v>VIA EINAUDI 87</v>
      </c>
      <c r="G60" t="str">
        <f>IFERROR(__xludf.DUMMYFUNCTION("""COMPUTED_VALUE"""),"Matera")</f>
        <v>Matera</v>
      </c>
      <c r="H60" t="str">
        <f>IFERROR(__xludf.DUMMYFUNCTION("""COMPUTED_VALUE"""),"Italy")</f>
        <v>Italy</v>
      </c>
      <c r="I60">
        <f>IFERROR(__xludf.DUMMYFUNCTION("""COMPUTED_VALUE"""),2186.0)</f>
        <v>2186</v>
      </c>
      <c r="J60">
        <f>IFERROR(__xludf.DUMMYFUNCTION("""COMPUTED_VALUE"""),10.0)</f>
        <v>10</v>
      </c>
      <c r="K60">
        <f>IFERROR(__xludf.DUMMYFUNCTION("""COMPUTED_VALUE"""),71.0)</f>
        <v>71</v>
      </c>
      <c r="L60" t="str">
        <f>IFERROR(__xludf.DUMMYFUNCTION("""COMPUTED_VALUE"""),"TTRPRP78S29G786D")</f>
        <v>TTRPRP78S29G786D</v>
      </c>
      <c r="M60">
        <f>IFERROR(__xludf.DUMMYFUNCTION("""COMPUTED_VALUE"""),4.0)</f>
        <v>4</v>
      </c>
      <c r="N60">
        <f>IFERROR(__xludf.DUMMYFUNCTION("""COMPUTED_VALUE"""),42404.0)</f>
        <v>42404</v>
      </c>
      <c r="O60" t="str">
        <f>IFERROR(__xludf.DUMMYFUNCTION("""COMPUTED_VALUE"""),"")</f>
        <v/>
      </c>
    </row>
    <row r="61">
      <c r="A61">
        <f>IFERROR(__xludf.DUMMYFUNCTION("""COMPUTED_VALUE"""),40.6761857)</f>
        <v>40.6761857</v>
      </c>
      <c r="B61">
        <f>IFERROR(__xludf.DUMMYFUNCTION("""COMPUTED_VALUE"""),16.5961501)</f>
        <v>16.5961501</v>
      </c>
      <c r="C61" t="str">
        <f>IFERROR(__xludf.DUMMYFUNCTION("""COMPUTED_VALUE"""),"Casa Vacanza")</f>
        <v>Casa Vacanza</v>
      </c>
      <c r="D61" t="str">
        <f>IFERROR(__xludf.DUMMYFUNCTION("""COMPUTED_VALUE"""),"CASA MADDALENA")</f>
        <v>CASA MADDALENA</v>
      </c>
      <c r="E61" t="str">
        <f>IFERROR(__xludf.DUMMYFUNCTION("""COMPUTED_VALUE"""),"GRAZZIELLA PERSIA")</f>
        <v>GRAZZIELLA PERSIA</v>
      </c>
      <c r="F61" t="str">
        <f>IFERROR(__xludf.DUMMYFUNCTION("""COMPUTED_VALUE"""),"VIA PIZZILLI 5")</f>
        <v>VIA PIZZILLI 5</v>
      </c>
      <c r="G61" t="str">
        <f>IFERROR(__xludf.DUMMYFUNCTION("""COMPUTED_VALUE"""),"Matera")</f>
        <v>Matera</v>
      </c>
      <c r="H61" t="str">
        <f>IFERROR(__xludf.DUMMYFUNCTION("""COMPUTED_VALUE"""),"Italy")</f>
        <v>Italy</v>
      </c>
      <c r="I61">
        <f>IFERROR(__xludf.DUMMYFUNCTION("""COMPUTED_VALUE"""),5031.0)</f>
        <v>5031</v>
      </c>
      <c r="J61">
        <f>IFERROR(__xludf.DUMMYFUNCTION("""COMPUTED_VALUE"""),5.0)</f>
        <v>5</v>
      </c>
      <c r="K61">
        <f>IFERROR(__xludf.DUMMYFUNCTION("""COMPUTED_VALUE"""),159.0)</f>
        <v>159</v>
      </c>
      <c r="L61" t="str">
        <f>IFERROR(__xludf.DUMMYFUNCTION("""COMPUTED_VALUE"""),"PRSGZL62T62F052A")</f>
        <v>PRSGZL62T62F052A</v>
      </c>
      <c r="M61">
        <f>IFERROR(__xludf.DUMMYFUNCTION("""COMPUTED_VALUE"""),5.0)</f>
        <v>5</v>
      </c>
      <c r="N61" t="str">
        <f>IFERROR(__xludf.DUMMYFUNCTION("""COMPUTED_VALUE"""),"")</f>
        <v/>
      </c>
      <c r="O61" t="str">
        <f>IFERROR(__xludf.DUMMYFUNCTION("""COMPUTED_VALUE"""),"")</f>
        <v/>
      </c>
    </row>
    <row r="62">
      <c r="A62">
        <f>IFERROR(__xludf.DUMMYFUNCTION("""COMPUTED_VALUE"""),40.6763691718172)</f>
        <v>40.67636917</v>
      </c>
      <c r="B62">
        <f>IFERROR(__xludf.DUMMYFUNCTION("""COMPUTED_VALUE"""),16.5962346560927)</f>
        <v>16.59623466</v>
      </c>
      <c r="C62" t="str">
        <f>IFERROR(__xludf.DUMMYFUNCTION("""COMPUTED_VALUE"""),"Casa vacanza")</f>
        <v>Casa vacanza</v>
      </c>
      <c r="D62" t="str">
        <f>IFERROR(__xludf.DUMMYFUNCTION("""COMPUTED_VALUE"""),"CASA MADDALENA")</f>
        <v>CASA MADDALENA</v>
      </c>
      <c r="E62" t="str">
        <f>IFERROR(__xludf.DUMMYFUNCTION("""COMPUTED_VALUE"""),"GRAZZIELLA PERSIA")</f>
        <v>GRAZZIELLA PERSIA</v>
      </c>
      <c r="F62" t="str">
        <f>IFERROR(__xludf.DUMMYFUNCTION("""COMPUTED_VALUE"""),"VIA VINCENZO PIZZILLI 5")</f>
        <v>VIA VINCENZO PIZZILLI 5</v>
      </c>
      <c r="G62" t="str">
        <f>IFERROR(__xludf.DUMMYFUNCTION("""COMPUTED_VALUE"""),"Matera")</f>
        <v>Matera</v>
      </c>
      <c r="H62" t="str">
        <f>IFERROR(__xludf.DUMMYFUNCTION("""COMPUTED_VALUE"""),"Italy")</f>
        <v>Italy</v>
      </c>
      <c r="I62">
        <f>IFERROR(__xludf.DUMMYFUNCTION("""COMPUTED_VALUE"""),5031.0)</f>
        <v>5031</v>
      </c>
      <c r="J62">
        <f>IFERROR(__xludf.DUMMYFUNCTION("""COMPUTED_VALUE"""),5.0)</f>
        <v>5</v>
      </c>
      <c r="K62">
        <f>IFERROR(__xludf.DUMMYFUNCTION("""COMPUTED_VALUE"""),159.0)</f>
        <v>159</v>
      </c>
      <c r="L62" t="str">
        <f>IFERROR(__xludf.DUMMYFUNCTION("""COMPUTED_VALUE"""),"PRSGZL62T62F052A")</f>
        <v>PRSGZL62T62F052A</v>
      </c>
      <c r="M62">
        <f>IFERROR(__xludf.DUMMYFUNCTION("""COMPUTED_VALUE"""),5.0)</f>
        <v>5</v>
      </c>
      <c r="N62">
        <f>IFERROR(__xludf.DUMMYFUNCTION("""COMPUTED_VALUE"""),42174.0)</f>
        <v>42174</v>
      </c>
      <c r="O62" t="str">
        <f>IFERROR(__xludf.DUMMYFUNCTION("""COMPUTED_VALUE"""),"")</f>
        <v/>
      </c>
    </row>
    <row r="63">
      <c r="A63">
        <f>IFERROR(__xludf.DUMMYFUNCTION("""COMPUTED_VALUE"""),40.669989)</f>
        <v>40.669989</v>
      </c>
      <c r="B63">
        <f>IFERROR(__xludf.DUMMYFUNCTION("""COMPUTED_VALUE"""),16.60884)</f>
        <v>16.60884</v>
      </c>
      <c r="C63" t="str">
        <f>IFERROR(__xludf.DUMMYFUNCTION("""COMPUTED_VALUE"""),"Casa Vacanza")</f>
        <v>Casa Vacanza</v>
      </c>
      <c r="D63" t="str">
        <f>IFERROR(__xludf.DUMMYFUNCTION("""COMPUTED_VALUE"""),"CASA MATERA SASSI")</f>
        <v>CASA MATERA SASSI</v>
      </c>
      <c r="E63" t="str">
        <f>IFERROR(__xludf.DUMMYFUNCTION("""COMPUTED_VALUE"""),"CARMINE SINNO")</f>
        <v>CARMINE SINNO</v>
      </c>
      <c r="F63" t="str">
        <f>IFERROR(__xludf.DUMMYFUNCTION("""COMPUTED_VALUE"""),"VIA SANTA CESAREA  3-9")</f>
        <v>VIA SANTA CESAREA  3-9</v>
      </c>
      <c r="G63" t="str">
        <f>IFERROR(__xludf.DUMMYFUNCTION("""COMPUTED_VALUE"""),"Matera")</f>
        <v>Matera</v>
      </c>
      <c r="H63" t="str">
        <f>IFERROR(__xludf.DUMMYFUNCTION("""COMPUTED_VALUE"""),"Italy")</f>
        <v>Italy</v>
      </c>
      <c r="I63">
        <f>IFERROR(__xludf.DUMMYFUNCTION("""COMPUTED_VALUE"""),47.0)</f>
        <v>47</v>
      </c>
      <c r="J63">
        <f>IFERROR(__xludf.DUMMYFUNCTION("""COMPUTED_VALUE"""),34.0)</f>
        <v>34</v>
      </c>
      <c r="K63">
        <f>IFERROR(__xludf.DUMMYFUNCTION("""COMPUTED_VALUE"""),159.0)</f>
        <v>159</v>
      </c>
      <c r="L63" t="str">
        <f>IFERROR(__xludf.DUMMYFUNCTION("""COMPUTED_VALUE"""),"SNNCMN40E31F052R")</f>
        <v>SNNCMN40E31F052R</v>
      </c>
      <c r="M63">
        <f>IFERROR(__xludf.DUMMYFUNCTION("""COMPUTED_VALUE"""),4.0)</f>
        <v>4</v>
      </c>
      <c r="N63">
        <f>IFERROR(__xludf.DUMMYFUNCTION("""COMPUTED_VALUE"""),41019.0)</f>
        <v>41019</v>
      </c>
      <c r="O63" t="str">
        <f>IFERROR(__xludf.DUMMYFUNCTION("""COMPUTED_VALUE"""),"")</f>
        <v/>
      </c>
    </row>
    <row r="64">
      <c r="A64">
        <f>IFERROR(__xludf.DUMMYFUNCTION("""COMPUTED_VALUE"""),40.6597697)</f>
        <v>40.6597697</v>
      </c>
      <c r="B64">
        <f>IFERROR(__xludf.DUMMYFUNCTION("""COMPUTED_VALUE"""),16.6117861)</f>
        <v>16.6117861</v>
      </c>
      <c r="C64" t="str">
        <f>IFERROR(__xludf.DUMMYFUNCTION("""COMPUTED_VALUE"""),"Casa Vacanza")</f>
        <v>Casa Vacanza</v>
      </c>
      <c r="D64" t="str">
        <f>IFERROR(__xludf.DUMMYFUNCTION("""COMPUTED_VALUE"""),"CASA METEORON")</f>
        <v>CASA METEORON</v>
      </c>
      <c r="E64" t="str">
        <f>IFERROR(__xludf.DUMMYFUNCTION("""COMPUTED_VALUE"""),"LAURA MARZO")</f>
        <v>LAURA MARZO</v>
      </c>
      <c r="F64" t="str">
        <f>IFERROR(__xludf.DUMMYFUNCTION("""COMPUTED_VALUE"""),"VIA FORTUNATO 47 A-B")</f>
        <v>VIA FORTUNATO 47 A-B</v>
      </c>
      <c r="G64" t="str">
        <f>IFERROR(__xludf.DUMMYFUNCTION("""COMPUTED_VALUE"""),"Matera")</f>
        <v>Matera</v>
      </c>
      <c r="H64" t="str">
        <f>IFERROR(__xludf.DUMMYFUNCTION("""COMPUTED_VALUE"""),"Italy")</f>
        <v>Italy</v>
      </c>
      <c r="I64">
        <f>IFERROR(__xludf.DUMMYFUNCTION("""COMPUTED_VALUE"""),306.0)</f>
        <v>306</v>
      </c>
      <c r="J64">
        <f>IFERROR(__xludf.DUMMYFUNCTION("""COMPUTED_VALUE"""),2.0)</f>
        <v>2</v>
      </c>
      <c r="K64">
        <f>IFERROR(__xludf.DUMMYFUNCTION("""COMPUTED_VALUE"""),103.0)</f>
        <v>103</v>
      </c>
      <c r="L64" t="str">
        <f>IFERROR(__xludf.DUMMYFUNCTION("""COMPUTED_VALUE"""),"MRZLCN79R45G786C")</f>
        <v>MRZLCN79R45G786C</v>
      </c>
      <c r="M64">
        <f>IFERROR(__xludf.DUMMYFUNCTION("""COMPUTED_VALUE"""),5.0)</f>
        <v>5</v>
      </c>
      <c r="N64" t="str">
        <f>IFERROR(__xludf.DUMMYFUNCTION("""COMPUTED_VALUE"""),"")</f>
        <v/>
      </c>
      <c r="O64" t="str">
        <f>IFERROR(__xludf.DUMMYFUNCTION("""COMPUTED_VALUE"""),"")</f>
        <v/>
      </c>
    </row>
    <row r="65">
      <c r="A65">
        <f>IFERROR(__xludf.DUMMYFUNCTION("""COMPUTED_VALUE"""),40.6717055)</f>
        <v>40.6717055</v>
      </c>
      <c r="B65">
        <f>IFERROR(__xludf.DUMMYFUNCTION("""COMPUTED_VALUE"""),16.6084209)</f>
        <v>16.6084209</v>
      </c>
      <c r="C65" t="str">
        <f>IFERROR(__xludf.DUMMYFUNCTION("""COMPUTED_VALUE"""),"Casa Vacanza")</f>
        <v>Casa Vacanza</v>
      </c>
      <c r="D65" t="str">
        <f>IFERROR(__xludf.DUMMYFUNCTION("""COMPUTED_VALUE"""),"CASA MICHELA")</f>
        <v>CASA MICHELA</v>
      </c>
      <c r="E65" t="str">
        <f>IFERROR(__xludf.DUMMYFUNCTION("""COMPUTED_VALUE"""),"CHIETERA CARMELA")</f>
        <v>CHIETERA CARMELA</v>
      </c>
      <c r="F65" t="str">
        <f>IFERROR(__xludf.DUMMYFUNCTION("""COMPUTED_VALUE"""),"VIA SANTO STEFANO 88")</f>
        <v>VIA SANTO STEFANO 88</v>
      </c>
      <c r="G65" t="str">
        <f>IFERROR(__xludf.DUMMYFUNCTION("""COMPUTED_VALUE"""),"Matera")</f>
        <v>Matera</v>
      </c>
      <c r="H65" t="str">
        <f>IFERROR(__xludf.DUMMYFUNCTION("""COMPUTED_VALUE"""),"Italy")</f>
        <v>Italy</v>
      </c>
      <c r="I65">
        <f>IFERROR(__xludf.DUMMYFUNCTION("""COMPUTED_VALUE"""),118.0)</f>
        <v>118</v>
      </c>
      <c r="J65">
        <f>IFERROR(__xludf.DUMMYFUNCTION("""COMPUTED_VALUE"""),28.0)</f>
        <v>28</v>
      </c>
      <c r="K65">
        <f>IFERROR(__xludf.DUMMYFUNCTION("""COMPUTED_VALUE"""),72.0)</f>
        <v>72</v>
      </c>
      <c r="L65" t="str">
        <f>IFERROR(__xludf.DUMMYFUNCTION("""COMPUTED_VALUE"""),"CHTCML60H51A662Q")</f>
        <v>CHTCML60H51A662Q</v>
      </c>
      <c r="M65">
        <f>IFERROR(__xludf.DUMMYFUNCTION("""COMPUTED_VALUE"""),4.0)</f>
        <v>4</v>
      </c>
      <c r="N65">
        <f>IFERROR(__xludf.DUMMYFUNCTION("""COMPUTED_VALUE"""),42894.0)</f>
        <v>42894</v>
      </c>
      <c r="O65">
        <f>IFERROR(__xludf.DUMMYFUNCTION("""COMPUTED_VALUE"""),1034.0)</f>
        <v>1034</v>
      </c>
    </row>
    <row r="66">
      <c r="A66">
        <f>IFERROR(__xludf.DUMMYFUNCTION("""COMPUTED_VALUE"""),40.6714601124479)</f>
        <v>40.67146011</v>
      </c>
      <c r="B66">
        <f>IFERROR(__xludf.DUMMYFUNCTION("""COMPUTED_VALUE"""),16.6034273647297)</f>
        <v>16.60342736</v>
      </c>
      <c r="C66" t="str">
        <f>IFERROR(__xludf.DUMMYFUNCTION("""COMPUTED_VALUE"""),"Casa Vacanza")</f>
        <v>Casa Vacanza</v>
      </c>
      <c r="D66" t="str">
        <f>IFERROR(__xludf.DUMMYFUNCTION("""COMPUTED_VALUE"""),"CASA NONNA FRANCA")</f>
        <v>CASA NONNA FRANCA</v>
      </c>
      <c r="E66" t="str">
        <f>IFERROR(__xludf.DUMMYFUNCTION("""COMPUTED_VALUE"""),"PASQUALE A. ANDRULLI")</f>
        <v>PASQUALE A. ANDRULLI</v>
      </c>
      <c r="F66" t="str">
        <f>IFERROR(__xludf.DUMMYFUNCTION("""COMPUTED_VALUE"""),"REC III ANNUNZIATELLA 24")</f>
        <v>REC III ANNUNZIATELLA 24</v>
      </c>
      <c r="G66" t="str">
        <f>IFERROR(__xludf.DUMMYFUNCTION("""COMPUTED_VALUE"""),"Matera")</f>
        <v>Matera</v>
      </c>
      <c r="H66" t="str">
        <f>IFERROR(__xludf.DUMMYFUNCTION("""COMPUTED_VALUE"""),"Italy")</f>
        <v>Italy</v>
      </c>
      <c r="I66">
        <f>IFERROR(__xludf.DUMMYFUNCTION("""COMPUTED_VALUE"""),786.0)</f>
        <v>786</v>
      </c>
      <c r="J66">
        <f>IFERROR(__xludf.DUMMYFUNCTION("""COMPUTED_VALUE"""),8.0)</f>
        <v>8</v>
      </c>
      <c r="K66">
        <f>IFERROR(__xludf.DUMMYFUNCTION("""COMPUTED_VALUE"""),71.0)</f>
        <v>71</v>
      </c>
      <c r="L66" t="str">
        <f>IFERROR(__xludf.DUMMYFUNCTION("""COMPUTED_VALUE"""),"NDRQL68H13F052X")</f>
        <v>NDRQL68H13F052X</v>
      </c>
      <c r="M66">
        <f>IFERROR(__xludf.DUMMYFUNCTION("""COMPUTED_VALUE"""),3.0)</f>
        <v>3</v>
      </c>
      <c r="N66">
        <f>IFERROR(__xludf.DUMMYFUNCTION("""COMPUTED_VALUE"""),42307.0)</f>
        <v>42307</v>
      </c>
      <c r="O66" t="str">
        <f>IFERROR(__xludf.DUMMYFUNCTION("""COMPUTED_VALUE"""),"")</f>
        <v/>
      </c>
    </row>
    <row r="67">
      <c r="A67">
        <f>IFERROR(__xludf.DUMMYFUNCTION("""COMPUTED_VALUE"""),40.6666326653317)</f>
        <v>40.66663267</v>
      </c>
      <c r="B67">
        <f>IFERROR(__xludf.DUMMYFUNCTION("""COMPUTED_VALUE"""),16.5980376917326)</f>
        <v>16.59803769</v>
      </c>
      <c r="C67" t="str">
        <f>IFERROR(__xludf.DUMMYFUNCTION("""COMPUTED_VALUE"""),"Casa Vacanza")</f>
        <v>Casa Vacanza</v>
      </c>
      <c r="D67" t="str">
        <f>IFERROR(__xludf.DUMMYFUNCTION("""COMPUTED_VALUE"""),"CASA RELAX")</f>
        <v>CASA RELAX</v>
      </c>
      <c r="E67" t="str">
        <f>IFERROR(__xludf.DUMMYFUNCTION("""COMPUTED_VALUE"""),"EMANUELE LOPERFIDO")</f>
        <v>EMANUELE LOPERFIDO</v>
      </c>
      <c r="F67" t="str">
        <f>IFERROR(__xludf.DUMMYFUNCTION("""COMPUTED_VALUE"""),"VIA L. EINAUDI 81")</f>
        <v>VIA L. EINAUDI 81</v>
      </c>
      <c r="G67" t="str">
        <f>IFERROR(__xludf.DUMMYFUNCTION("""COMPUTED_VALUE"""),"Matera")</f>
        <v>Matera</v>
      </c>
      <c r="H67" t="str">
        <f>IFERROR(__xludf.DUMMYFUNCTION("""COMPUTED_VALUE"""),"Italy")</f>
        <v>Italy</v>
      </c>
      <c r="I67">
        <f>IFERROR(__xludf.DUMMYFUNCTION("""COMPUTED_VALUE"""),2203.0)</f>
        <v>2203</v>
      </c>
      <c r="J67">
        <f>IFERROR(__xludf.DUMMYFUNCTION("""COMPUTED_VALUE"""),25.0)</f>
        <v>25</v>
      </c>
      <c r="K67">
        <f>IFERROR(__xludf.DUMMYFUNCTION("""COMPUTED_VALUE"""),71.0)</f>
        <v>71</v>
      </c>
      <c r="L67" t="str">
        <f>IFERROR(__xludf.DUMMYFUNCTION("""COMPUTED_VALUE"""),"LPRMNL69D25F052C")</f>
        <v>LPRMNL69D25F052C</v>
      </c>
      <c r="M67">
        <f>IFERROR(__xludf.DUMMYFUNCTION("""COMPUTED_VALUE"""),3.0)</f>
        <v>3</v>
      </c>
      <c r="N67">
        <f>IFERROR(__xludf.DUMMYFUNCTION("""COMPUTED_VALUE"""),42510.0)</f>
        <v>42510</v>
      </c>
      <c r="O67" t="str">
        <f>IFERROR(__xludf.DUMMYFUNCTION("""COMPUTED_VALUE"""),"")</f>
        <v/>
      </c>
    </row>
    <row r="68">
      <c r="A68">
        <f>IFERROR(__xludf.DUMMYFUNCTION("""COMPUTED_VALUE"""),40.672149786102)</f>
        <v>40.67214979</v>
      </c>
      <c r="B68">
        <f>IFERROR(__xludf.DUMMYFUNCTION("""COMPUTED_VALUE"""),16.6045940568166)</f>
        <v>16.60459406</v>
      </c>
      <c r="C68" t="str">
        <f>IFERROR(__xludf.DUMMYFUNCTION("""COMPUTED_VALUE"""),"Casa Vacanza")</f>
        <v>Casa Vacanza</v>
      </c>
      <c r="D68" t="str">
        <f>IFERROR(__xludf.DUMMYFUNCTION("""COMPUTED_VALUE"""),"CASA ROSA")</f>
        <v>CASA ROSA</v>
      </c>
      <c r="E68" t="str">
        <f>IFERROR(__xludf.DUMMYFUNCTION("""COMPUTED_VALUE"""),"DI LECCE PAOLA ROSA")</f>
        <v>DI LECCE PAOLA ROSA</v>
      </c>
      <c r="F68" t="str">
        <f>IFERROR(__xludf.DUMMYFUNCTION("""COMPUTED_VALUE"""),"VIA GIOLITTI.19")</f>
        <v>VIA GIOLITTI.19</v>
      </c>
      <c r="G68" t="str">
        <f>IFERROR(__xludf.DUMMYFUNCTION("""COMPUTED_VALUE"""),"Matera")</f>
        <v>Matera</v>
      </c>
      <c r="H68" t="str">
        <f>IFERROR(__xludf.DUMMYFUNCTION("""COMPUTED_VALUE"""),"Italy")</f>
        <v>Italy</v>
      </c>
      <c r="I68">
        <f>IFERROR(__xludf.DUMMYFUNCTION("""COMPUTED_VALUE"""),4028.0)</f>
        <v>4028</v>
      </c>
      <c r="J68">
        <f>IFERROR(__xludf.DUMMYFUNCTION("""COMPUTED_VALUE"""),19.0)</f>
        <v>19</v>
      </c>
      <c r="K68">
        <f>IFERROR(__xludf.DUMMYFUNCTION("""COMPUTED_VALUE"""),159.0)</f>
        <v>159</v>
      </c>
      <c r="L68" t="str">
        <f>IFERROR(__xludf.DUMMYFUNCTION("""COMPUTED_VALUE"""),"DLCPRS46T62F052Q")</f>
        <v>DLCPRS46T62F052Q</v>
      </c>
      <c r="M68">
        <f>IFERROR(__xludf.DUMMYFUNCTION("""COMPUTED_VALUE"""),5.0)</f>
        <v>5</v>
      </c>
      <c r="N68">
        <f>IFERROR(__xludf.DUMMYFUNCTION("""COMPUTED_VALUE"""),42244.0)</f>
        <v>42244</v>
      </c>
      <c r="O68">
        <f>IFERROR(__xludf.DUMMYFUNCTION("""COMPUTED_VALUE"""),1647.0)</f>
        <v>1647</v>
      </c>
    </row>
    <row r="69">
      <c r="A69">
        <f>IFERROR(__xludf.DUMMYFUNCTION("""COMPUTED_VALUE"""),40.67113)</f>
        <v>40.67113</v>
      </c>
      <c r="B69">
        <f>IFERROR(__xludf.DUMMYFUNCTION("""COMPUTED_VALUE"""),16.605989)</f>
        <v>16.605989</v>
      </c>
      <c r="C69" t="str">
        <f>IFERROR(__xludf.DUMMYFUNCTION("""COMPUTED_VALUE"""),"Casa Vacanza")</f>
        <v>Casa Vacanza</v>
      </c>
      <c r="D69" t="str">
        <f>IFERROR(__xludf.DUMMYFUNCTION("""COMPUTED_VALUE"""),"CASA ROSSELLI")</f>
        <v>CASA ROSSELLI</v>
      </c>
      <c r="E69" t="str">
        <f>IFERROR(__xludf.DUMMYFUNCTION("""COMPUTED_VALUE"""),"SILVIO PIETRO CAFARELLI")</f>
        <v>SILVIO PIETRO CAFARELLI</v>
      </c>
      <c r="F69" t="str">
        <f>IFERROR(__xludf.DUMMYFUNCTION("""COMPUTED_VALUE"""),"VIA ROSSELLI 76")</f>
        <v>VIA ROSSELLI 76</v>
      </c>
      <c r="G69" t="str">
        <f>IFERROR(__xludf.DUMMYFUNCTION("""COMPUTED_VALUE"""),"Matera")</f>
        <v>Matera</v>
      </c>
      <c r="H69" t="str">
        <f>IFERROR(__xludf.DUMMYFUNCTION("""COMPUTED_VALUE"""),"Italy")</f>
        <v>Italy</v>
      </c>
      <c r="I69">
        <f>IFERROR(__xludf.DUMMYFUNCTION("""COMPUTED_VALUE"""),3667.0)</f>
        <v>3667</v>
      </c>
      <c r="J69">
        <f>IFERROR(__xludf.DUMMYFUNCTION("""COMPUTED_VALUE"""),21.0)</f>
        <v>21</v>
      </c>
      <c r="K69">
        <f>IFERROR(__xludf.DUMMYFUNCTION("""COMPUTED_VALUE"""),159.0)</f>
        <v>159</v>
      </c>
      <c r="L69" t="str">
        <f>IFERROR(__xludf.DUMMYFUNCTION("""COMPUTED_VALUE"""),"CFRSVPP55L18A017S")</f>
        <v>CFRSVPP55L18A017S</v>
      </c>
      <c r="M69">
        <f>IFERROR(__xludf.DUMMYFUNCTION("""COMPUTED_VALUE"""),5.0)</f>
        <v>5</v>
      </c>
      <c r="N69">
        <f>IFERROR(__xludf.DUMMYFUNCTION("""COMPUTED_VALUE"""),42671.0)</f>
        <v>42671</v>
      </c>
      <c r="O69" t="str">
        <f>IFERROR(__xludf.DUMMYFUNCTION("""COMPUTED_VALUE"""),"")</f>
        <v/>
      </c>
    </row>
    <row r="70">
      <c r="A70">
        <f>IFERROR(__xludf.DUMMYFUNCTION("""COMPUTED_VALUE"""),40.6710931)</f>
        <v>40.6710931</v>
      </c>
      <c r="B70">
        <f>IFERROR(__xludf.DUMMYFUNCTION("""COMPUTED_VALUE"""),16.6086155)</f>
        <v>16.6086155</v>
      </c>
      <c r="C70" t="str">
        <f>IFERROR(__xludf.DUMMYFUNCTION("""COMPUTED_VALUE"""),"Casa Vacanza")</f>
        <v>Casa Vacanza</v>
      </c>
      <c r="D70" t="str">
        <f>IFERROR(__xludf.DUMMYFUNCTION("""COMPUTED_VALUE"""),"CASA RUBINO")</f>
        <v>CASA RUBINO</v>
      </c>
      <c r="E70" t="str">
        <f>IFERROR(__xludf.DUMMYFUNCTION("""COMPUTED_VALUE"""),"PLASMATI ANTONIO VINCENZO")</f>
        <v>PLASMATI ANTONIO VINCENZO</v>
      </c>
      <c r="F70" t="str">
        <f>IFERROR(__xludf.DUMMYFUNCTION("""COMPUTED_VALUE"""),"VIA SANTO STEFANO 93")</f>
        <v>VIA SANTO STEFANO 93</v>
      </c>
      <c r="G70" t="str">
        <f>IFERROR(__xludf.DUMMYFUNCTION("""COMPUTED_VALUE"""),"Matera")</f>
        <v>Matera</v>
      </c>
      <c r="H70" t="str">
        <f>IFERROR(__xludf.DUMMYFUNCTION("""COMPUTED_VALUE"""),"Italy")</f>
        <v>Italy</v>
      </c>
      <c r="I70">
        <f>IFERROR(__xludf.DUMMYFUNCTION("""COMPUTED_VALUE"""),3705.0)</f>
        <v>3705</v>
      </c>
      <c r="J70">
        <f>IFERROR(__xludf.DUMMYFUNCTION("""COMPUTED_VALUE"""),3.0)</f>
        <v>3</v>
      </c>
      <c r="K70">
        <f>IFERROR(__xludf.DUMMYFUNCTION("""COMPUTED_VALUE"""),159.0)</f>
        <v>159</v>
      </c>
      <c r="L70" t="str">
        <f>IFERROR(__xludf.DUMMYFUNCTION("""COMPUTED_VALUE"""),"PLSNNV52B04F052Q")</f>
        <v>PLSNNV52B04F052Q</v>
      </c>
      <c r="M70">
        <f>IFERROR(__xludf.DUMMYFUNCTION("""COMPUTED_VALUE"""),4.0)</f>
        <v>4</v>
      </c>
      <c r="N70">
        <f>IFERROR(__xludf.DUMMYFUNCTION("""COMPUTED_VALUE"""),42896.0)</f>
        <v>42896</v>
      </c>
      <c r="O70" t="str">
        <f>IFERROR(__xludf.DUMMYFUNCTION("""COMPUTED_VALUE"""),"")</f>
        <v/>
      </c>
    </row>
    <row r="71">
      <c r="A71">
        <f>IFERROR(__xludf.DUMMYFUNCTION("""COMPUTED_VALUE"""),40.6696792201715)</f>
        <v>40.66967922</v>
      </c>
      <c r="B71">
        <f>IFERROR(__xludf.DUMMYFUNCTION("""COMPUTED_VALUE"""),16.6088102393041)</f>
        <v>16.60881024</v>
      </c>
      <c r="C71" t="str">
        <f>IFERROR(__xludf.DUMMYFUNCTION("""COMPUTED_VALUE"""),"Casa Vacanze")</f>
        <v>Casa Vacanze</v>
      </c>
      <c r="D71" t="str">
        <f>IFERROR(__xludf.DUMMYFUNCTION("""COMPUTED_VALUE"""),"CASA SASSI VIZZIELLO")</f>
        <v>CASA SASSI VIZZIELLO</v>
      </c>
      <c r="E71" t="str">
        <f>IFERROR(__xludf.DUMMYFUNCTION("""COMPUTED_VALUE"""),"CHIARA MARIA VIZZIELLO")</f>
        <v>CHIARA MARIA VIZZIELLO</v>
      </c>
      <c r="F71" t="str">
        <f>IFERROR(__xludf.DUMMYFUNCTION("""COMPUTED_VALUE"""),"VIA SANTA CESAREA 45")</f>
        <v>VIA SANTA CESAREA 45</v>
      </c>
      <c r="G71" t="str">
        <f>IFERROR(__xludf.DUMMYFUNCTION("""COMPUTED_VALUE"""),"Matera ")</f>
        <v>Matera </v>
      </c>
      <c r="H71" t="str">
        <f>IFERROR(__xludf.DUMMYFUNCTION("""COMPUTED_VALUE"""),"Italy")</f>
        <v>Italy</v>
      </c>
      <c r="I71">
        <f>IFERROR(__xludf.DUMMYFUNCTION("""COMPUTED_VALUE"""),3581.0)</f>
        <v>3581</v>
      </c>
      <c r="J71">
        <f>IFERROR(__xludf.DUMMYFUNCTION("""COMPUTED_VALUE"""),17.0)</f>
        <v>17</v>
      </c>
      <c r="K71">
        <f>IFERROR(__xludf.DUMMYFUNCTION("""COMPUTED_VALUE"""),159.0)</f>
        <v>159</v>
      </c>
      <c r="L71" t="str">
        <f>IFERROR(__xludf.DUMMYFUNCTION("""COMPUTED_VALUE"""),"VZZCRM57C42F052A")</f>
        <v>VZZCRM57C42F052A</v>
      </c>
      <c r="M71">
        <f>IFERROR(__xludf.DUMMYFUNCTION("""COMPUTED_VALUE"""),4.0)</f>
        <v>4</v>
      </c>
      <c r="N71">
        <f>IFERROR(__xludf.DUMMYFUNCTION("""COMPUTED_VALUE"""),43085.0)</f>
        <v>43085</v>
      </c>
      <c r="O71" t="str">
        <f>IFERROR(__xludf.DUMMYFUNCTION("""COMPUTED_VALUE"""),"")</f>
        <v/>
      </c>
    </row>
    <row r="72">
      <c r="A72">
        <f>IFERROR(__xludf.DUMMYFUNCTION("""COMPUTED_VALUE"""),40.669989)</f>
        <v>40.669989</v>
      </c>
      <c r="B72">
        <f>IFERROR(__xludf.DUMMYFUNCTION("""COMPUTED_VALUE"""),16.60884)</f>
        <v>16.60884</v>
      </c>
      <c r="C72" t="str">
        <f>IFERROR(__xludf.DUMMYFUNCTION("""COMPUTED_VALUE"""),"Casa Vacanza")</f>
        <v>Casa Vacanza</v>
      </c>
      <c r="D72" t="str">
        <f>IFERROR(__xludf.DUMMYFUNCTION("""COMPUTED_VALUE"""),"CASA SASSI-VIZZIELLO")</f>
        <v>CASA SASSI-VIZZIELLO</v>
      </c>
      <c r="E72" t="str">
        <f>IFERROR(__xludf.DUMMYFUNCTION("""COMPUTED_VALUE"""),"VIZZIELLO CHIARA MARIA")</f>
        <v>VIZZIELLO CHIARA MARIA</v>
      </c>
      <c r="F72" t="str">
        <f>IFERROR(__xludf.DUMMYFUNCTION("""COMPUTED_VALUE"""),"VIA SANTA CESAREA 45")</f>
        <v>VIA SANTA CESAREA 45</v>
      </c>
      <c r="G72" t="str">
        <f>IFERROR(__xludf.DUMMYFUNCTION("""COMPUTED_VALUE"""),"Matera")</f>
        <v>Matera</v>
      </c>
      <c r="H72" t="str">
        <f>IFERROR(__xludf.DUMMYFUNCTION("""COMPUTED_VALUE"""),"Italy")</f>
        <v>Italy</v>
      </c>
      <c r="I72">
        <f>IFERROR(__xludf.DUMMYFUNCTION("""COMPUTED_VALUE"""),3581.0)</f>
        <v>3581</v>
      </c>
      <c r="J72">
        <f>IFERROR(__xludf.DUMMYFUNCTION("""COMPUTED_VALUE"""),14.0)</f>
        <v>14</v>
      </c>
      <c r="K72">
        <f>IFERROR(__xludf.DUMMYFUNCTION("""COMPUTED_VALUE"""),159.0)</f>
        <v>159</v>
      </c>
      <c r="L72" t="str">
        <f>IFERROR(__xludf.DUMMYFUNCTION("""COMPUTED_VALUE"""),"VZZCRM57C42F052A")</f>
        <v>VZZCRM57C42F052A</v>
      </c>
      <c r="M72" t="str">
        <f>IFERROR(__xludf.DUMMYFUNCTION("""COMPUTED_VALUE"""),"")</f>
        <v/>
      </c>
      <c r="N72" t="str">
        <f>IFERROR(__xludf.DUMMYFUNCTION("""COMPUTED_VALUE"""),"")</f>
        <v/>
      </c>
      <c r="O72" t="str">
        <f>IFERROR(__xludf.DUMMYFUNCTION("""COMPUTED_VALUE"""),"")</f>
        <v/>
      </c>
    </row>
    <row r="73">
      <c r="A73">
        <f>IFERROR(__xludf.DUMMYFUNCTION("""COMPUTED_VALUE"""),40.6745131)</f>
        <v>40.6745131</v>
      </c>
      <c r="B73">
        <f>IFERROR(__xludf.DUMMYFUNCTION("""COMPUTED_VALUE"""),16.5962545)</f>
        <v>16.5962545</v>
      </c>
      <c r="C73" t="str">
        <f>IFERROR(__xludf.DUMMYFUNCTION("""COMPUTED_VALUE"""),"Casa Vacanza")</f>
        <v>Casa Vacanza</v>
      </c>
      <c r="D73" t="str">
        <f>IFERROR(__xludf.DUMMYFUNCTION("""COMPUTED_VALUE"""),"CASA SERENA")</f>
        <v>CASA SERENA</v>
      </c>
      <c r="E73" t="str">
        <f>IFERROR(__xludf.DUMMYFUNCTION("""COMPUTED_VALUE"""),"FESTA ANNUNZIATA")</f>
        <v>FESTA ANNUNZIATA</v>
      </c>
      <c r="F73" t="str">
        <f>IFERROR(__xludf.DUMMYFUNCTION("""COMPUTED_VALUE"""),"VIA TATARANNI 5")</f>
        <v>VIA TATARANNI 5</v>
      </c>
      <c r="G73" t="str">
        <f>IFERROR(__xludf.DUMMYFUNCTION("""COMPUTED_VALUE"""),"Matera")</f>
        <v>Matera</v>
      </c>
      <c r="H73" t="str">
        <f>IFERROR(__xludf.DUMMYFUNCTION("""COMPUTED_VALUE"""),"Italy")</f>
        <v>Italy</v>
      </c>
      <c r="I73">
        <f>IFERROR(__xludf.DUMMYFUNCTION("""COMPUTED_VALUE"""),771.0)</f>
        <v>771</v>
      </c>
      <c r="J73">
        <f>IFERROR(__xludf.DUMMYFUNCTION("""COMPUTED_VALUE"""),16.0)</f>
        <v>16</v>
      </c>
      <c r="K73">
        <f>IFERROR(__xludf.DUMMYFUNCTION("""COMPUTED_VALUE"""),71.0)</f>
        <v>71</v>
      </c>
      <c r="L73" t="str">
        <f>IFERROR(__xludf.DUMMYFUNCTION("""COMPUTED_VALUE"""),"FSTNNZ74A71F052S")</f>
        <v>FSTNNZ74A71F052S</v>
      </c>
      <c r="M73">
        <f>IFERROR(__xludf.DUMMYFUNCTION("""COMPUTED_VALUE"""),5.0)</f>
        <v>5</v>
      </c>
      <c r="N73">
        <f>IFERROR(__xludf.DUMMYFUNCTION("""COMPUTED_VALUE"""),42629.0)</f>
        <v>42629</v>
      </c>
      <c r="O73" t="str">
        <f>IFERROR(__xludf.DUMMYFUNCTION("""COMPUTED_VALUE"""),"")</f>
        <v/>
      </c>
    </row>
    <row r="74">
      <c r="A74">
        <f>IFERROR(__xludf.DUMMYFUNCTION("""COMPUTED_VALUE"""),40.669877)</f>
        <v>40.669877</v>
      </c>
      <c r="B74">
        <f>IFERROR(__xludf.DUMMYFUNCTION("""COMPUTED_VALUE"""),16.6036952)</f>
        <v>16.6036952</v>
      </c>
      <c r="C74" t="str">
        <f>IFERROR(__xludf.DUMMYFUNCTION("""COMPUTED_VALUE"""),"Casa Vacanza")</f>
        <v>Casa Vacanza</v>
      </c>
      <c r="D74" t="str">
        <f>IFERROR(__xludf.DUMMYFUNCTION("""COMPUTED_VALUE"""),"CASA SILVANA")</f>
        <v>CASA SILVANA</v>
      </c>
      <c r="E74" t="str">
        <f>IFERROR(__xludf.DUMMYFUNCTION("""COMPUTED_VALUE"""),"GIACOIA FRANCESCO PAOLO")</f>
        <v>GIACOIA FRANCESCO PAOLO</v>
      </c>
      <c r="F74" t="str">
        <f>IFERROR(__xludf.DUMMYFUNCTION("""COMPUTED_VALUE"""),"VIA PROTOSPATA 52")</f>
        <v>VIA PROTOSPATA 52</v>
      </c>
      <c r="G74" t="str">
        <f>IFERROR(__xludf.DUMMYFUNCTION("""COMPUTED_VALUE"""),"Matera")</f>
        <v>Matera</v>
      </c>
      <c r="H74" t="str">
        <f>IFERROR(__xludf.DUMMYFUNCTION("""COMPUTED_VALUE"""),"Italy")</f>
        <v>Italy</v>
      </c>
      <c r="I74">
        <f>IFERROR(__xludf.DUMMYFUNCTION("""COMPUTED_VALUE"""),783.0)</f>
        <v>783</v>
      </c>
      <c r="J74">
        <f>IFERROR(__xludf.DUMMYFUNCTION("""COMPUTED_VALUE"""),2.0)</f>
        <v>2</v>
      </c>
      <c r="K74">
        <f>IFERROR(__xludf.DUMMYFUNCTION("""COMPUTED_VALUE"""),71.0)</f>
        <v>71</v>
      </c>
      <c r="L74" t="str">
        <f>IFERROR(__xludf.DUMMYFUNCTION("""COMPUTED_VALUE"""),"CSLGPP71L21F052N")</f>
        <v>CSLGPP71L21F052N</v>
      </c>
      <c r="M74">
        <f>IFERROR(__xludf.DUMMYFUNCTION("""COMPUTED_VALUE"""),5.0)</f>
        <v>5</v>
      </c>
      <c r="N74">
        <f>IFERROR(__xludf.DUMMYFUNCTION("""COMPUTED_VALUE"""),42508.0)</f>
        <v>42508</v>
      </c>
      <c r="O74" t="str">
        <f>IFERROR(__xludf.DUMMYFUNCTION("""COMPUTED_VALUE"""),"")</f>
        <v/>
      </c>
    </row>
    <row r="75">
      <c r="A75">
        <f>IFERROR(__xludf.DUMMYFUNCTION("""COMPUTED_VALUE"""),40.668934)</f>
        <v>40.668934</v>
      </c>
      <c r="B75">
        <f>IFERROR(__xludf.DUMMYFUNCTION("""COMPUTED_VALUE"""),16.6055)</f>
        <v>16.6055</v>
      </c>
      <c r="C75" t="str">
        <f>IFERROR(__xludf.DUMMYFUNCTION("""COMPUTED_VALUE"""),"Casa Vacanza")</f>
        <v>Casa Vacanza</v>
      </c>
      <c r="D75" t="str">
        <f>IFERROR(__xludf.DUMMYFUNCTION("""COMPUTED_VALUE"""),"CASA TONIA")</f>
        <v>CASA TONIA</v>
      </c>
      <c r="E75" t="str">
        <f>IFERROR(__xludf.DUMMYFUNCTION("""COMPUTED_VALUE"""),"ANTONELLA SCHIUMA")</f>
        <v>ANTONELLA SCHIUMA</v>
      </c>
      <c r="F75" t="str">
        <f>IFERROR(__xludf.DUMMYFUNCTION("""COMPUTED_VALUE"""),"VICO FORNACI 7")</f>
        <v>VICO FORNACI 7</v>
      </c>
      <c r="G75" t="str">
        <f>IFERROR(__xludf.DUMMYFUNCTION("""COMPUTED_VALUE"""),"Matera")</f>
        <v>Matera</v>
      </c>
      <c r="H75" t="str">
        <f>IFERROR(__xludf.DUMMYFUNCTION("""COMPUTED_VALUE"""),"Italy")</f>
        <v>Italy</v>
      </c>
      <c r="I75">
        <f>IFERROR(__xludf.DUMMYFUNCTION("""COMPUTED_VALUE"""),2729.0)</f>
        <v>2729</v>
      </c>
      <c r="J75">
        <f>IFERROR(__xludf.DUMMYFUNCTION("""COMPUTED_VALUE"""),8.0)</f>
        <v>8</v>
      </c>
      <c r="K75">
        <f>IFERROR(__xludf.DUMMYFUNCTION("""COMPUTED_VALUE"""),159.0)</f>
        <v>159</v>
      </c>
      <c r="L75" t="str">
        <f>IFERROR(__xludf.DUMMYFUNCTION("""COMPUTED_VALUE"""),"SCHNNT59S43F052O")</f>
        <v>SCHNNT59S43F052O</v>
      </c>
      <c r="M75">
        <f>IFERROR(__xludf.DUMMYFUNCTION("""COMPUTED_VALUE"""),5.0)</f>
        <v>5</v>
      </c>
      <c r="N75">
        <f>IFERROR(__xludf.DUMMYFUNCTION("""COMPUTED_VALUE"""),42350.0)</f>
        <v>42350</v>
      </c>
      <c r="O75" t="str">
        <f>IFERROR(__xludf.DUMMYFUNCTION("""COMPUTED_VALUE"""),"")</f>
        <v/>
      </c>
    </row>
    <row r="76">
      <c r="A76">
        <f>IFERROR(__xludf.DUMMYFUNCTION("""COMPUTED_VALUE"""),40.6589467281213)</f>
        <v>40.65894673</v>
      </c>
      <c r="B76">
        <f>IFERROR(__xludf.DUMMYFUNCTION("""COMPUTED_VALUE"""),16.6036859110365)</f>
        <v>16.60368591</v>
      </c>
      <c r="C76" t="str">
        <f>IFERROR(__xludf.DUMMYFUNCTION("""COMPUTED_VALUE"""),"Casa Vacanza")</f>
        <v>Casa Vacanza</v>
      </c>
      <c r="D76" t="str">
        <f>IFERROR(__xludf.DUMMYFUNCTION("""COMPUTED_VALUE"""),"CASA VAC. DONNA GRAZIA")</f>
        <v>CASA VAC. DONNA GRAZIA</v>
      </c>
      <c r="E76" t="str">
        <f>IFERROR(__xludf.DUMMYFUNCTION("""COMPUTED_VALUE"""),"STELLA AGELO RAFFAELE")</f>
        <v>STELLA AGELO RAFFAELE</v>
      </c>
      <c r="F76" t="str">
        <f>IFERROR(__xludf.DUMMYFUNCTION("""COMPUTED_VALUE"""),"VIA DEL TULIPANO 9")</f>
        <v>VIA DEL TULIPANO 9</v>
      </c>
      <c r="G76" t="str">
        <f>IFERROR(__xludf.DUMMYFUNCTION("""COMPUTED_VALUE"""),"Matera")</f>
        <v>Matera</v>
      </c>
      <c r="H76" t="str">
        <f>IFERROR(__xludf.DUMMYFUNCTION("""COMPUTED_VALUE"""),"Italy")</f>
        <v>Italy</v>
      </c>
      <c r="I76">
        <f>IFERROR(__xludf.DUMMYFUNCTION("""COMPUTED_VALUE"""),320.0)</f>
        <v>320</v>
      </c>
      <c r="J76">
        <f>IFERROR(__xludf.DUMMYFUNCTION("""COMPUTED_VALUE"""),3.0)</f>
        <v>3</v>
      </c>
      <c r="K76">
        <f>IFERROR(__xludf.DUMMYFUNCTION("""COMPUTED_VALUE"""),101.0)</f>
        <v>101</v>
      </c>
      <c r="L76" t="str">
        <f>IFERROR(__xludf.DUMMYFUNCTION("""COMPUTED_VALUE"""),"STLNLR53D07F052V")</f>
        <v>STLNLR53D07F052V</v>
      </c>
      <c r="M76">
        <f>IFERROR(__xludf.DUMMYFUNCTION("""COMPUTED_VALUE"""),4.0)</f>
        <v>4</v>
      </c>
      <c r="N76">
        <f>IFERROR(__xludf.DUMMYFUNCTION("""COMPUTED_VALUE"""),42947.0)</f>
        <v>42947</v>
      </c>
      <c r="O76" t="str">
        <f>IFERROR(__xludf.DUMMYFUNCTION("""COMPUTED_VALUE"""),"")</f>
        <v/>
      </c>
    </row>
    <row r="77">
      <c r="A77">
        <f>IFERROR(__xludf.DUMMYFUNCTION("""COMPUTED_VALUE"""),40.6602314615262)</f>
        <v>40.66023146</v>
      </c>
      <c r="B77">
        <f>IFERROR(__xludf.DUMMYFUNCTION("""COMPUTED_VALUE"""),16.6146961043315)</f>
        <v>16.6146961</v>
      </c>
      <c r="C77" t="str">
        <f>IFERROR(__xludf.DUMMYFUNCTION("""COMPUTED_VALUE"""),"Casa Vacanza")</f>
        <v>Casa Vacanza</v>
      </c>
      <c r="D77" t="str">
        <f>IFERROR(__xludf.DUMMYFUNCTION("""COMPUTED_VALUE"""),"CASA VACA. IL BELVEDERE SUI SASSI")</f>
        <v>CASA VACA. IL BELVEDERE SUI SASSI</v>
      </c>
      <c r="E77" t="str">
        <f>IFERROR(__xludf.DUMMYFUNCTION("""COMPUTED_VALUE"""),"LICCHELLI RAFFAELLO")</f>
        <v>LICCHELLI RAFFAELLO</v>
      </c>
      <c r="F77" t="str">
        <f>IFERROR(__xludf.DUMMYFUNCTION("""COMPUTED_VALUE"""),"VIA CASALNUOVO 179")</f>
        <v>VIA CASALNUOVO 179</v>
      </c>
      <c r="G77" t="str">
        <f>IFERROR(__xludf.DUMMYFUNCTION("""COMPUTED_VALUE"""),"Matera")</f>
        <v>Matera</v>
      </c>
      <c r="H77" t="str">
        <f>IFERROR(__xludf.DUMMYFUNCTION("""COMPUTED_VALUE"""),"Italy")</f>
        <v>Italy</v>
      </c>
      <c r="I77">
        <f>IFERROR(__xludf.DUMMYFUNCTION("""COMPUTED_VALUE"""),2499.0)</f>
        <v>2499</v>
      </c>
      <c r="J77">
        <f>IFERROR(__xludf.DUMMYFUNCTION("""COMPUTED_VALUE"""),5.0)</f>
        <v>5</v>
      </c>
      <c r="K77">
        <f>IFERROR(__xludf.DUMMYFUNCTION("""COMPUTED_VALUE"""),159.0)</f>
        <v>159</v>
      </c>
      <c r="L77" t="str">
        <f>IFERROR(__xludf.DUMMYFUNCTION("""COMPUTED_VALUE"""),"LCCRFL88B20G786Y")</f>
        <v>LCCRFL88B20G786Y</v>
      </c>
      <c r="M77">
        <f>IFERROR(__xludf.DUMMYFUNCTION("""COMPUTED_VALUE"""),2.0)</f>
        <v>2</v>
      </c>
      <c r="N77">
        <f>IFERROR(__xludf.DUMMYFUNCTION("""COMPUTED_VALUE"""),42916.0)</f>
        <v>42916</v>
      </c>
      <c r="O77">
        <f>IFERROR(__xludf.DUMMYFUNCTION("""COMPUTED_VALUE"""),1928.0)</f>
        <v>1928</v>
      </c>
    </row>
    <row r="78">
      <c r="A78">
        <f>IFERROR(__xludf.DUMMYFUNCTION("""COMPUTED_VALUE"""),40.6682645)</f>
        <v>40.6682645</v>
      </c>
      <c r="B78">
        <f>IFERROR(__xludf.DUMMYFUNCTION("""COMPUTED_VALUE"""),16.6072005)</f>
        <v>16.6072005</v>
      </c>
      <c r="C78" t="str">
        <f>IFERROR(__xludf.DUMMYFUNCTION("""COMPUTED_VALUE"""),"Casa Vacanza")</f>
        <v>Casa Vacanza</v>
      </c>
      <c r="D78" t="str">
        <f>IFERROR(__xludf.DUMMYFUNCTION("""COMPUTED_VALUE"""),"CASA VACANZA")</f>
        <v>CASA VACANZA</v>
      </c>
      <c r="E78" t="str">
        <f>IFERROR(__xludf.DUMMYFUNCTION("""COMPUTED_VALUE"""),"GIUSI VIGNOLA")</f>
        <v>GIUSI VIGNOLA</v>
      </c>
      <c r="F78" t="str">
        <f>IFERROR(__xludf.DUMMYFUNCTION("""COMPUTED_VALUE"""),"VICO XX SETTEMBRE 40")</f>
        <v>VICO XX SETTEMBRE 40</v>
      </c>
      <c r="G78" t="str">
        <f>IFERROR(__xludf.DUMMYFUNCTION("""COMPUTED_VALUE"""),"Matera")</f>
        <v>Matera</v>
      </c>
      <c r="H78" t="str">
        <f>IFERROR(__xludf.DUMMYFUNCTION("""COMPUTED_VALUE"""),"Italy")</f>
        <v>Italy</v>
      </c>
      <c r="I78">
        <f>IFERROR(__xludf.DUMMYFUNCTION("""COMPUTED_VALUE"""),3987.0)</f>
        <v>3987</v>
      </c>
      <c r="J78">
        <f>IFERROR(__xludf.DUMMYFUNCTION("""COMPUTED_VALUE"""),28.0)</f>
        <v>28</v>
      </c>
      <c r="K78">
        <f>IFERROR(__xludf.DUMMYFUNCTION("""COMPUTED_VALUE"""),159.0)</f>
        <v>159</v>
      </c>
      <c r="L78" t="str">
        <f>IFERROR(__xludf.DUMMYFUNCTION("""COMPUTED_VALUE"""),"VGNGSI81T63F052V")</f>
        <v>VGNGSI81T63F052V</v>
      </c>
      <c r="M78">
        <f>IFERROR(__xludf.DUMMYFUNCTION("""COMPUTED_VALUE"""),4.0)</f>
        <v>4</v>
      </c>
      <c r="N78">
        <f>IFERROR(__xludf.DUMMYFUNCTION("""COMPUTED_VALUE"""),42184.0)</f>
        <v>42184</v>
      </c>
      <c r="O78" t="str">
        <f>IFERROR(__xludf.DUMMYFUNCTION("""COMPUTED_VALUE"""),"")</f>
        <v/>
      </c>
    </row>
    <row r="79">
      <c r="A79">
        <f>IFERROR(__xludf.DUMMYFUNCTION("""COMPUTED_VALUE"""),40.6417977)</f>
        <v>40.6417977</v>
      </c>
      <c r="B79">
        <f>IFERROR(__xludf.DUMMYFUNCTION("""COMPUTED_VALUE"""),16.624082)</f>
        <v>16.624082</v>
      </c>
      <c r="C79" t="str">
        <f>IFERROR(__xludf.DUMMYFUNCTION("""COMPUTED_VALUE"""),"Casa Vacanza")</f>
        <v>Casa Vacanza</v>
      </c>
      <c r="D79" t="str">
        <f>IFERROR(__xludf.DUMMYFUNCTION("""COMPUTED_VALUE"""),"CASA VACANZA ALL'OFRA")</f>
        <v>CASA VACANZA ALL'OFRA</v>
      </c>
      <c r="E79" t="str">
        <f>IFERROR(__xludf.DUMMYFUNCTION("""COMPUTED_VALUE"""),"LIONETTI ANTONIO VINCENZO")</f>
        <v>LIONETTI ANTONIO VINCENZO</v>
      </c>
      <c r="F79" t="str">
        <f>IFERROR(__xludf.DUMMYFUNCTION("""COMPUTED_VALUE"""),"VIA  DELL'ARIETE 5")</f>
        <v>VIA  DELL'ARIETE 5</v>
      </c>
      <c r="G79" t="str">
        <f>IFERROR(__xludf.DUMMYFUNCTION("""COMPUTED_VALUE"""),"Matera")</f>
        <v>Matera</v>
      </c>
      <c r="H79" t="str">
        <f>IFERROR(__xludf.DUMMYFUNCTION("""COMPUTED_VALUE"""),"Italy")</f>
        <v>Italy</v>
      </c>
      <c r="I79">
        <f>IFERROR(__xludf.DUMMYFUNCTION("""COMPUTED_VALUE"""),615.0)</f>
        <v>615</v>
      </c>
      <c r="J79">
        <f>IFERROR(__xludf.DUMMYFUNCTION("""COMPUTED_VALUE"""),14.0)</f>
        <v>14</v>
      </c>
      <c r="K79">
        <f>IFERROR(__xludf.DUMMYFUNCTION("""COMPUTED_VALUE"""),114.0)</f>
        <v>114</v>
      </c>
      <c r="L79" t="str">
        <f>IFERROR(__xludf.DUMMYFUNCTION("""COMPUTED_VALUE"""),"LNTNNV54D30F052Z")</f>
        <v>LNTNNV54D30F052Z</v>
      </c>
      <c r="M79">
        <f>IFERROR(__xludf.DUMMYFUNCTION("""COMPUTED_VALUE"""),4.0)</f>
        <v>4</v>
      </c>
      <c r="N79">
        <f>IFERROR(__xludf.DUMMYFUNCTION("""COMPUTED_VALUE"""),43041.0)</f>
        <v>43041</v>
      </c>
      <c r="O79" t="str">
        <f>IFERROR(__xludf.DUMMYFUNCTION("""COMPUTED_VALUE"""),"")</f>
        <v/>
      </c>
    </row>
    <row r="80">
      <c r="A80">
        <f>IFERROR(__xludf.DUMMYFUNCTION("""COMPUTED_VALUE"""),40.6536)</f>
        <v>40.6536</v>
      </c>
      <c r="B80">
        <f>IFERROR(__xludf.DUMMYFUNCTION("""COMPUTED_VALUE"""),16.61796)</f>
        <v>16.61796</v>
      </c>
      <c r="C80" t="str">
        <f>IFERROR(__xludf.DUMMYFUNCTION("""COMPUTED_VALUE"""),"Casa Vacanza")</f>
        <v>Casa Vacanza</v>
      </c>
      <c r="D80" t="str">
        <f>IFERROR(__xludf.DUMMYFUNCTION("""COMPUTED_VALUE"""),"CASA VACANZA CAPPUCCINI")</f>
        <v>CASA VACANZA CAPPUCCINI</v>
      </c>
      <c r="E80" t="str">
        <f>IFERROR(__xludf.DUMMYFUNCTION("""COMPUTED_VALUE"""),"SIMONA CUSCIANNA")</f>
        <v>SIMONA CUSCIANNA</v>
      </c>
      <c r="F80" t="str">
        <f>IFERROR(__xludf.DUMMYFUNCTION("""COMPUTED_VALUE"""),"VIA CAPPUCCINI 14")</f>
        <v>VIA CAPPUCCINI 14</v>
      </c>
      <c r="G80" t="str">
        <f>IFERROR(__xludf.DUMMYFUNCTION("""COMPUTED_VALUE"""),"Matera")</f>
        <v>Matera</v>
      </c>
      <c r="H80" t="str">
        <f>IFERROR(__xludf.DUMMYFUNCTION("""COMPUTED_VALUE"""),"Italy")</f>
        <v>Italy</v>
      </c>
      <c r="I80">
        <f>IFERROR(__xludf.DUMMYFUNCTION("""COMPUTED_VALUE"""),162.0)</f>
        <v>162</v>
      </c>
      <c r="J80">
        <f>IFERROR(__xludf.DUMMYFUNCTION("""COMPUTED_VALUE"""),6.0)</f>
        <v>6</v>
      </c>
      <c r="K80">
        <f>IFERROR(__xludf.DUMMYFUNCTION("""COMPUTED_VALUE"""),105.0)</f>
        <v>105</v>
      </c>
      <c r="L80" t="str">
        <f>IFERROR(__xludf.DUMMYFUNCTION("""COMPUTED_VALUE"""),"CSCSMN81E52C134A")</f>
        <v>CSCSMN81E52C134A</v>
      </c>
      <c r="M80" t="str">
        <f>IFERROR(__xludf.DUMMYFUNCTION("""COMPUTED_VALUE"""),"")</f>
        <v/>
      </c>
      <c r="N80">
        <f>IFERROR(__xludf.DUMMYFUNCTION("""COMPUTED_VALUE"""),42162.0)</f>
        <v>42162</v>
      </c>
      <c r="O80" t="str">
        <f>IFERROR(__xludf.DUMMYFUNCTION("""COMPUTED_VALUE"""),"")</f>
        <v/>
      </c>
    </row>
    <row r="81">
      <c r="A81">
        <f>IFERROR(__xludf.DUMMYFUNCTION("""COMPUTED_VALUE"""),40.664893871849)</f>
        <v>40.66489387</v>
      </c>
      <c r="B81">
        <f>IFERROR(__xludf.DUMMYFUNCTION("""COMPUTED_VALUE"""),16.5949060908674)</f>
        <v>16.59490609</v>
      </c>
      <c r="C81" t="str">
        <f>IFERROR(__xludf.DUMMYFUNCTION("""COMPUTED_VALUE"""),"Casa Vacanza")</f>
        <v>Casa Vacanza</v>
      </c>
      <c r="D81" t="str">
        <f>IFERROR(__xludf.DUMMYFUNCTION("""COMPUTED_VALUE"""),"CASA VACANZA DA NICO")</f>
        <v>CASA VACANZA DA NICO</v>
      </c>
      <c r="E81" t="str">
        <f>IFERROR(__xludf.DUMMYFUNCTION("""COMPUTED_VALUE"""),"LANZOLLA NICOLA")</f>
        <v>LANZOLLA NICOLA</v>
      </c>
      <c r="F81" t="str">
        <f>IFERROR(__xludf.DUMMYFUNCTION("""COMPUTED_VALUE"""),"VIALE EUROPA 14")</f>
        <v>VIALE EUROPA 14</v>
      </c>
      <c r="G81" t="str">
        <f>IFERROR(__xludf.DUMMYFUNCTION("""COMPUTED_VALUE"""),"Matera")</f>
        <v>Matera</v>
      </c>
      <c r="H81" t="str">
        <f>IFERROR(__xludf.DUMMYFUNCTION("""COMPUTED_VALUE"""),"Italy")</f>
        <v>Italy</v>
      </c>
      <c r="I81">
        <f>IFERROR(__xludf.DUMMYFUNCTION("""COMPUTED_VALUE"""),696.0)</f>
        <v>696</v>
      </c>
      <c r="J81">
        <f>IFERROR(__xludf.DUMMYFUNCTION("""COMPUTED_VALUE"""),25.0)</f>
        <v>25</v>
      </c>
      <c r="K81">
        <f>IFERROR(__xludf.DUMMYFUNCTION("""COMPUTED_VALUE"""),71.0)</f>
        <v>71</v>
      </c>
      <c r="L81" t="str">
        <f>IFERROR(__xludf.DUMMYFUNCTION("""COMPUTED_VALUE"""),"LNZNCL80E07F052A")</f>
        <v>LNZNCL80E07F052A</v>
      </c>
      <c r="M81">
        <f>IFERROR(__xludf.DUMMYFUNCTION("""COMPUTED_VALUE"""),4.0)</f>
        <v>4</v>
      </c>
      <c r="N81">
        <f>IFERROR(__xludf.DUMMYFUNCTION("""COMPUTED_VALUE"""),42312.0)</f>
        <v>42312</v>
      </c>
      <c r="O81" t="str">
        <f>IFERROR(__xludf.DUMMYFUNCTION("""COMPUTED_VALUE"""),"")</f>
        <v/>
      </c>
    </row>
    <row r="82">
      <c r="A82">
        <f>IFERROR(__xludf.DUMMYFUNCTION("""COMPUTED_VALUE"""),40.6513331)</f>
        <v>40.6513331</v>
      </c>
      <c r="B82">
        <f>IFERROR(__xludf.DUMMYFUNCTION("""COMPUTED_VALUE"""),16.6182542)</f>
        <v>16.6182542</v>
      </c>
      <c r="C82" t="str">
        <f>IFERROR(__xludf.DUMMYFUNCTION("""COMPUTED_VALUE"""),"Casa Vacanza")</f>
        <v>Casa Vacanza</v>
      </c>
      <c r="D82" t="str">
        <f>IFERROR(__xludf.DUMMYFUNCTION("""COMPUTED_VALUE"""),"CASA VACANZA DEL SUD")</f>
        <v>CASA VACANZA DEL SUD</v>
      </c>
      <c r="E82" t="str">
        <f>IFERROR(__xludf.DUMMYFUNCTION("""COMPUTED_VALUE"""),"ANGELA DI CECCA")</f>
        <v>ANGELA DI CECCA</v>
      </c>
      <c r="F82" t="str">
        <f>IFERROR(__xludf.DUMMYFUNCTION("""COMPUTED_VALUE"""),"VICO 4 CAPPUCCINI 6")</f>
        <v>VICO 4 CAPPUCCINI 6</v>
      </c>
      <c r="G82" t="str">
        <f>IFERROR(__xludf.DUMMYFUNCTION("""COMPUTED_VALUE"""),"Matera")</f>
        <v>Matera</v>
      </c>
      <c r="H82" t="str">
        <f>IFERROR(__xludf.DUMMYFUNCTION("""COMPUTED_VALUE"""),"Italy")</f>
        <v>Italy</v>
      </c>
      <c r="I82">
        <f>IFERROR(__xludf.DUMMYFUNCTION("""COMPUTED_VALUE"""),133.0)</f>
        <v>133</v>
      </c>
      <c r="J82">
        <f>IFERROR(__xludf.DUMMYFUNCTION("""COMPUTED_VALUE"""),2.0)</f>
        <v>2</v>
      </c>
      <c r="K82">
        <f>IFERROR(__xludf.DUMMYFUNCTION("""COMPUTED_VALUE"""),105.0)</f>
        <v>105</v>
      </c>
      <c r="L82" t="str">
        <f>IFERROR(__xludf.DUMMYFUNCTION("""COMPUTED_VALUE"""),"DCCNGL65B43F052W")</f>
        <v>DCCNGL65B43F052W</v>
      </c>
      <c r="M82">
        <f>IFERROR(__xludf.DUMMYFUNCTION("""COMPUTED_VALUE"""),5.0)</f>
        <v>5</v>
      </c>
      <c r="N82">
        <f>IFERROR(__xludf.DUMMYFUNCTION("""COMPUTED_VALUE"""),42193.0)</f>
        <v>42193</v>
      </c>
      <c r="O82">
        <f>IFERROR(__xludf.DUMMYFUNCTION("""COMPUTED_VALUE"""),1232.0)</f>
        <v>1232</v>
      </c>
    </row>
    <row r="83">
      <c r="A83">
        <f>IFERROR(__xludf.DUMMYFUNCTION("""COMPUTED_VALUE"""),40.6705803513196)</f>
        <v>40.67058035</v>
      </c>
      <c r="B83">
        <f>IFERROR(__xludf.DUMMYFUNCTION("""COMPUTED_VALUE"""),16.6079289405157)</f>
        <v>16.60792894</v>
      </c>
      <c r="C83" t="str">
        <f>IFERROR(__xludf.DUMMYFUNCTION("""COMPUTED_VALUE"""),"Casa Vacanza")</f>
        <v>Casa Vacanza</v>
      </c>
      <c r="D83" t="str">
        <f>IFERROR(__xludf.DUMMYFUNCTION("""COMPUTED_VALUE"""),"CASA VACANZA L'ALLORO  ")</f>
        <v>CASA VACANZA L'ALLORO  </v>
      </c>
      <c r="E83" t="str">
        <f>IFERROR(__xludf.DUMMYFUNCTION("""COMPUTED_VALUE"""),"LAMANNA DOMENICO")</f>
        <v>LAMANNA DOMENICO</v>
      </c>
      <c r="F83" t="str">
        <f>IFERROR(__xludf.DUMMYFUNCTION("""COMPUTED_VALUE"""),"VIA PENTASUGLIA 20")</f>
        <v>VIA PENTASUGLIA 20</v>
      </c>
      <c r="G83" t="str">
        <f>IFERROR(__xludf.DUMMYFUNCTION("""COMPUTED_VALUE"""),"Matera")</f>
        <v>Matera</v>
      </c>
      <c r="H83" t="str">
        <f>IFERROR(__xludf.DUMMYFUNCTION("""COMPUTED_VALUE"""),"Italy")</f>
        <v>Italy</v>
      </c>
      <c r="I83">
        <f>IFERROR(__xludf.DUMMYFUNCTION("""COMPUTED_VALUE"""),32.0)</f>
        <v>32</v>
      </c>
      <c r="J83">
        <f>IFERROR(__xludf.DUMMYFUNCTION("""COMPUTED_VALUE"""),9.0)</f>
        <v>9</v>
      </c>
      <c r="K83">
        <f>IFERROR(__xludf.DUMMYFUNCTION("""COMPUTED_VALUE"""),159.0)</f>
        <v>159</v>
      </c>
      <c r="L83" t="str">
        <f>IFERROR(__xludf.DUMMYFUNCTION("""COMPUTED_VALUE"""),"LMNDNC97R25L109O")</f>
        <v>LMNDNC97R25L109O</v>
      </c>
      <c r="M83">
        <f>IFERROR(__xludf.DUMMYFUNCTION("""COMPUTED_VALUE"""),5.0)</f>
        <v>5</v>
      </c>
      <c r="N83">
        <f>IFERROR(__xludf.DUMMYFUNCTION("""COMPUTED_VALUE"""),42835.0)</f>
        <v>42835</v>
      </c>
      <c r="O83">
        <f>IFERROR(__xludf.DUMMYFUNCTION("""COMPUTED_VALUE"""),1807.0)</f>
        <v>1807</v>
      </c>
    </row>
    <row r="84">
      <c r="A84">
        <f>IFERROR(__xludf.DUMMYFUNCTION("""COMPUTED_VALUE"""),40.6705803513196)</f>
        <v>40.67058035</v>
      </c>
      <c r="B84">
        <f>IFERROR(__xludf.DUMMYFUNCTION("""COMPUTED_VALUE"""),16.6079289405157)</f>
        <v>16.60792894</v>
      </c>
      <c r="C84" t="str">
        <f>IFERROR(__xludf.DUMMYFUNCTION("""COMPUTED_VALUE"""),"Casa Vacanza")</f>
        <v>Casa Vacanza</v>
      </c>
      <c r="D84" t="str">
        <f>IFERROR(__xludf.DUMMYFUNCTION("""COMPUTED_VALUE"""),"CASA VACANZA L'ALLORO  2")</f>
        <v>CASA VACANZA L'ALLORO  2</v>
      </c>
      <c r="E84" t="str">
        <f>IFERROR(__xludf.DUMMYFUNCTION("""COMPUTED_VALUE"""),"LAMANNA DOMENICO")</f>
        <v>LAMANNA DOMENICO</v>
      </c>
      <c r="F84" t="str">
        <f>IFERROR(__xludf.DUMMYFUNCTION("""COMPUTED_VALUE"""),"VIA T. TASSO  28")</f>
        <v>VIA T. TASSO  28</v>
      </c>
      <c r="G84" t="str">
        <f>IFERROR(__xludf.DUMMYFUNCTION("""COMPUTED_VALUE"""),"Matera")</f>
        <v>Matera</v>
      </c>
      <c r="H84" t="str">
        <f>IFERROR(__xludf.DUMMYFUNCTION("""COMPUTED_VALUE"""),"Italy")</f>
        <v>Italy</v>
      </c>
      <c r="I84">
        <f>IFERROR(__xludf.DUMMYFUNCTION("""COMPUTED_VALUE"""),32.0)</f>
        <v>32</v>
      </c>
      <c r="J84">
        <f>IFERROR(__xludf.DUMMYFUNCTION("""COMPUTED_VALUE"""),8.0)</f>
        <v>8</v>
      </c>
      <c r="K84">
        <f>IFERROR(__xludf.DUMMYFUNCTION("""COMPUTED_VALUE"""),159.0)</f>
        <v>159</v>
      </c>
      <c r="L84" t="str">
        <f>IFERROR(__xludf.DUMMYFUNCTION("""COMPUTED_VALUE"""),"LMNDNC97R25L109O")</f>
        <v>LMNDNC97R25L109O</v>
      </c>
      <c r="M84">
        <f>IFERROR(__xludf.DUMMYFUNCTION("""COMPUTED_VALUE"""),6.0)</f>
        <v>6</v>
      </c>
      <c r="N84">
        <f>IFERROR(__xludf.DUMMYFUNCTION("""COMPUTED_VALUE"""),42879.0)</f>
        <v>42879</v>
      </c>
      <c r="O84">
        <f>IFERROR(__xludf.DUMMYFUNCTION("""COMPUTED_VALUE"""),1920.0)</f>
        <v>1920</v>
      </c>
    </row>
    <row r="85">
      <c r="A85">
        <f>IFERROR(__xludf.DUMMYFUNCTION("""COMPUTED_VALUE"""),40.679064677554)</f>
        <v>40.67906468</v>
      </c>
      <c r="B85">
        <f>IFERROR(__xludf.DUMMYFUNCTION("""COMPUTED_VALUE"""),16.5947020647473)</f>
        <v>16.59470206</v>
      </c>
      <c r="C85" t="str">
        <f>IFERROR(__xludf.DUMMYFUNCTION("""COMPUTED_VALUE"""),"Casa Vacanza")</f>
        <v>Casa Vacanza</v>
      </c>
      <c r="D85" t="str">
        <f>IFERROR(__xludf.DUMMYFUNCTION("""COMPUTED_VALUE"""),"CASA VACANZA LA GRAVINELLA")</f>
        <v>CASA VACANZA LA GRAVINELLA</v>
      </c>
      <c r="E85" t="str">
        <f>IFERROR(__xludf.DUMMYFUNCTION("""COMPUTED_VALUE"""),"CORETTI GIUSEPPE")</f>
        <v>CORETTI GIUSEPPE</v>
      </c>
      <c r="F85" t="str">
        <f>IFERROR(__xludf.DUMMYFUNCTION("""COMPUTED_VALUE"""),"VIA M. ROSARIO GRECO 26/E")</f>
        <v>VIA M. ROSARIO GRECO 26/E</v>
      </c>
      <c r="G85" t="str">
        <f>IFERROR(__xludf.DUMMYFUNCTION("""COMPUTED_VALUE"""),"Matera")</f>
        <v>Matera</v>
      </c>
      <c r="H85" t="str">
        <f>IFERROR(__xludf.DUMMYFUNCTION("""COMPUTED_VALUE"""),"Italy")</f>
        <v>Italy</v>
      </c>
      <c r="I85">
        <f>IFERROR(__xludf.DUMMYFUNCTION("""COMPUTED_VALUE"""),916.0)</f>
        <v>916</v>
      </c>
      <c r="J85">
        <f>IFERROR(__xludf.DUMMYFUNCTION("""COMPUTED_VALUE"""),27.0)</f>
        <v>27</v>
      </c>
      <c r="K85">
        <f>IFERROR(__xludf.DUMMYFUNCTION("""COMPUTED_VALUE"""),70.0)</f>
        <v>70</v>
      </c>
      <c r="L85" t="str">
        <f>IFERROR(__xludf.DUMMYFUNCTION("""COMPUTED_VALUE"""),"CRTGPP90S16A225Z")</f>
        <v>CRTGPP90S16A225Z</v>
      </c>
      <c r="M85">
        <f>IFERROR(__xludf.DUMMYFUNCTION("""COMPUTED_VALUE"""),2.0)</f>
        <v>2</v>
      </c>
      <c r="N85">
        <f>IFERROR(__xludf.DUMMYFUNCTION("""COMPUTED_VALUE"""),42845.0)</f>
        <v>42845</v>
      </c>
      <c r="O85">
        <f>IFERROR(__xludf.DUMMYFUNCTION("""COMPUTED_VALUE"""),1915.0)</f>
        <v>1915</v>
      </c>
    </row>
    <row r="86">
      <c r="A86">
        <f>IFERROR(__xludf.DUMMYFUNCTION("""COMPUTED_VALUE"""),40.6611792100518)</f>
        <v>40.66117921</v>
      </c>
      <c r="B86">
        <f>IFERROR(__xludf.DUMMYFUNCTION("""COMPUTED_VALUE"""),16.612992228003)</f>
        <v>16.61299223</v>
      </c>
      <c r="C86" t="str">
        <f>IFERROR(__xludf.DUMMYFUNCTION("""COMPUTED_VALUE"""),"Casa Vacanza")</f>
        <v>Casa Vacanza</v>
      </c>
      <c r="D86" t="str">
        <f>IFERROR(__xludf.DUMMYFUNCTION("""COMPUTED_VALUE"""),"CASA VACANZA LA SETA NEI SASSI")</f>
        <v>CASA VACANZA LA SETA NEI SASSI</v>
      </c>
      <c r="E86" t="str">
        <f>IFERROR(__xludf.DUMMYFUNCTION("""COMPUTED_VALUE"""),"STELLA GIOVANNI")</f>
        <v>STELLA GIOVANNI</v>
      </c>
      <c r="F86" t="str">
        <f>IFERROR(__xludf.DUMMYFUNCTION("""COMPUTED_VALUE"""),"VICO 1° CASALNUOVO 47")</f>
        <v>VICO 1° CASALNUOVO 47</v>
      </c>
      <c r="G86" t="str">
        <f>IFERROR(__xludf.DUMMYFUNCTION("""COMPUTED_VALUE"""),"Matera")</f>
        <v>Matera</v>
      </c>
      <c r="H86" t="str">
        <f>IFERROR(__xludf.DUMMYFUNCTION("""COMPUTED_VALUE"""),"Italy")</f>
        <v>Italy</v>
      </c>
      <c r="I86">
        <f>IFERROR(__xludf.DUMMYFUNCTION("""COMPUTED_VALUE"""),2464.0)</f>
        <v>2464</v>
      </c>
      <c r="J86">
        <f>IFERROR(__xludf.DUMMYFUNCTION("""COMPUTED_VALUE"""),22.0)</f>
        <v>22</v>
      </c>
      <c r="K86">
        <f>IFERROR(__xludf.DUMMYFUNCTION("""COMPUTED_VALUE"""),159.0)</f>
        <v>159</v>
      </c>
      <c r="L86" t="str">
        <f>IFERROR(__xludf.DUMMYFUNCTION("""COMPUTED_VALUE"""),"STLGNN80R20F052Q")</f>
        <v>STLGNN80R20F052Q</v>
      </c>
      <c r="M86">
        <f>IFERROR(__xludf.DUMMYFUNCTION("""COMPUTED_VALUE"""),1.0)</f>
        <v>1</v>
      </c>
      <c r="N86">
        <f>IFERROR(__xludf.DUMMYFUNCTION("""COMPUTED_VALUE"""),42837.0)</f>
        <v>42837</v>
      </c>
      <c r="O86" t="str">
        <f>IFERROR(__xludf.DUMMYFUNCTION("""COMPUTED_VALUE"""),"")</f>
        <v/>
      </c>
    </row>
    <row r="87">
      <c r="A87">
        <f>IFERROR(__xludf.DUMMYFUNCTION("""COMPUTED_VALUE"""),40.6673046188308)</f>
        <v>40.66730462</v>
      </c>
      <c r="B87">
        <f>IFERROR(__xludf.DUMMYFUNCTION("""COMPUTED_VALUE"""),16.5948779226862)</f>
        <v>16.59487792</v>
      </c>
      <c r="C87" t="str">
        <f>IFERROR(__xludf.DUMMYFUNCTION("""COMPUTED_VALUE"""),"Casa Vacanza")</f>
        <v>Casa Vacanza</v>
      </c>
      <c r="D87" t="str">
        <f>IFERROR(__xludf.DUMMYFUNCTION("""COMPUTED_VALUE"""),"CASA VACANZA LIONETTI")</f>
        <v>CASA VACANZA LIONETTI</v>
      </c>
      <c r="E87" t="str">
        <f>IFERROR(__xludf.DUMMYFUNCTION("""COMPUTED_VALUE"""),"LIONETTI ANTONIO VINCENZO")</f>
        <v>LIONETTI ANTONIO VINCENZO</v>
      </c>
      <c r="F87" t="str">
        <f>IFERROR(__xludf.DUMMYFUNCTION("""COMPUTED_VALUE"""),"VIALE DELLE NAZIONI UNITE 22")</f>
        <v>VIALE DELLE NAZIONI UNITE 22</v>
      </c>
      <c r="G87" t="str">
        <f>IFERROR(__xludf.DUMMYFUNCTION("""COMPUTED_VALUE"""),"Matera")</f>
        <v>Matera</v>
      </c>
      <c r="H87" t="str">
        <f>IFERROR(__xludf.DUMMYFUNCTION("""COMPUTED_VALUE"""),"Italy")</f>
        <v>Italy</v>
      </c>
      <c r="I87">
        <f>IFERROR(__xludf.DUMMYFUNCTION("""COMPUTED_VALUE"""),870.0)</f>
        <v>870</v>
      </c>
      <c r="J87">
        <f>IFERROR(__xludf.DUMMYFUNCTION("""COMPUTED_VALUE"""),12.0)</f>
        <v>12</v>
      </c>
      <c r="K87">
        <f>IFERROR(__xludf.DUMMYFUNCTION("""COMPUTED_VALUE"""),71.0)</f>
        <v>71</v>
      </c>
      <c r="L87" t="str">
        <f>IFERROR(__xludf.DUMMYFUNCTION("""COMPUTED_VALUE"""),"LNTNNV54D30F052Z")</f>
        <v>LNTNNV54D30F052Z</v>
      </c>
      <c r="M87">
        <f>IFERROR(__xludf.DUMMYFUNCTION("""COMPUTED_VALUE"""),6.0)</f>
        <v>6</v>
      </c>
      <c r="N87">
        <f>IFERROR(__xludf.DUMMYFUNCTION("""COMPUTED_VALUE"""),42371.0)</f>
        <v>42371</v>
      </c>
      <c r="O87">
        <f>IFERROR(__xludf.DUMMYFUNCTION("""COMPUTED_VALUE"""),1759.0)</f>
        <v>1759</v>
      </c>
    </row>
    <row r="88">
      <c r="A88">
        <f>IFERROR(__xludf.DUMMYFUNCTION("""COMPUTED_VALUE"""),40.659489)</f>
        <v>40.659489</v>
      </c>
      <c r="B88">
        <f>IFERROR(__xludf.DUMMYFUNCTION("""COMPUTED_VALUE"""),16.6142328)</f>
        <v>16.6142328</v>
      </c>
      <c r="C88" t="str">
        <f>IFERROR(__xludf.DUMMYFUNCTION("""COMPUTED_VALUE"""),"Casa Vacanza")</f>
        <v>Casa Vacanza</v>
      </c>
      <c r="D88" t="str">
        <f>IFERROR(__xludf.DUMMYFUNCTION("""COMPUTED_VALUE"""),"CASA VACANZA LUCANA")</f>
        <v>CASA VACANZA LUCANA</v>
      </c>
      <c r="E88" t="str">
        <f>IFERROR(__xludf.DUMMYFUNCTION("""COMPUTED_VALUE"""),"VINCIGUERRA VINCENZO")</f>
        <v>VINCIGUERRA VINCENZO</v>
      </c>
      <c r="F88" t="str">
        <f>IFERROR(__xludf.DUMMYFUNCTION("""COMPUTED_VALUE"""),"VIA LUCANA 291")</f>
        <v>VIA LUCANA 291</v>
      </c>
      <c r="G88" t="str">
        <f>IFERROR(__xludf.DUMMYFUNCTION("""COMPUTED_VALUE"""),"Matera")</f>
        <v>Matera</v>
      </c>
      <c r="H88" t="str">
        <f>IFERROR(__xludf.DUMMYFUNCTION("""COMPUTED_VALUE"""),"Italy")</f>
        <v>Italy</v>
      </c>
      <c r="I88">
        <f>IFERROR(__xludf.DUMMYFUNCTION("""COMPUTED_VALUE"""),4002.0)</f>
        <v>4002</v>
      </c>
      <c r="J88">
        <f>IFERROR(__xludf.DUMMYFUNCTION("""COMPUTED_VALUE"""),4.0)</f>
        <v>4</v>
      </c>
      <c r="K88">
        <f>IFERROR(__xludf.DUMMYFUNCTION("""COMPUTED_VALUE"""),159.0)</f>
        <v>159</v>
      </c>
      <c r="L88" t="str">
        <f>IFERROR(__xludf.DUMMYFUNCTION("""COMPUTED_VALUE"""),"VNCVCN75E22E038C")</f>
        <v>VNCVCN75E22E038C</v>
      </c>
      <c r="M88">
        <f>IFERROR(__xludf.DUMMYFUNCTION("""COMPUTED_VALUE"""),4.0)</f>
        <v>4</v>
      </c>
      <c r="N88">
        <f>IFERROR(__xludf.DUMMYFUNCTION("""COMPUTED_VALUE"""),42333.0)</f>
        <v>42333</v>
      </c>
      <c r="O88" t="str">
        <f>IFERROR(__xludf.DUMMYFUNCTION("""COMPUTED_VALUE"""),"")</f>
        <v/>
      </c>
    </row>
    <row r="89">
      <c r="A89">
        <f>IFERROR(__xludf.DUMMYFUNCTION("""COMPUTED_VALUE"""),40.66843)</f>
        <v>40.66843</v>
      </c>
      <c r="B89">
        <f>IFERROR(__xludf.DUMMYFUNCTION("""COMPUTED_VALUE"""),16.597809)</f>
        <v>16.597809</v>
      </c>
      <c r="C89" t="str">
        <f>IFERROR(__xludf.DUMMYFUNCTION("""COMPUTED_VALUE"""),"Casa Vacanza")</f>
        <v>Casa Vacanza</v>
      </c>
      <c r="D89" t="str">
        <f>IFERROR(__xludf.DUMMYFUNCTION("""COMPUTED_VALUE"""),"CASA VACANZA MARAGNO")</f>
        <v>CASA VACANZA MARAGNO</v>
      </c>
      <c r="E89" t="str">
        <f>IFERROR(__xludf.DUMMYFUNCTION("""COMPUTED_VALUE"""),"FRANCESCO MARAGNO")</f>
        <v>FRANCESCO MARAGNO</v>
      </c>
      <c r="F89" t="str">
        <f>IFERROR(__xludf.DUMMYFUNCTION("""COMPUTED_VALUE"""),"VIA LUIGI EINAUDI 20")</f>
        <v>VIA LUIGI EINAUDI 20</v>
      </c>
      <c r="G89" t="str">
        <f>IFERROR(__xludf.DUMMYFUNCTION("""COMPUTED_VALUE"""),"Matera")</f>
        <v>Matera</v>
      </c>
      <c r="H89" t="str">
        <f>IFERROR(__xludf.DUMMYFUNCTION("""COMPUTED_VALUE"""),"Italy")</f>
        <v>Italy</v>
      </c>
      <c r="I89" t="str">
        <f>IFERROR(__xludf.DUMMYFUNCTION("""COMPUTED_VALUE"""),"")</f>
        <v/>
      </c>
      <c r="J89" t="str">
        <f>IFERROR(__xludf.DUMMYFUNCTION("""COMPUTED_VALUE"""),"")</f>
        <v/>
      </c>
      <c r="K89" t="str">
        <f>IFERROR(__xludf.DUMMYFUNCTION("""COMPUTED_VALUE"""),"")</f>
        <v/>
      </c>
      <c r="L89" t="str">
        <f>IFERROR(__xludf.DUMMYFUNCTION("""COMPUTED_VALUE"""),"MRGFNC62E29F052M")</f>
        <v>MRGFNC62E29F052M</v>
      </c>
      <c r="M89" t="str">
        <f>IFERROR(__xludf.DUMMYFUNCTION("""COMPUTED_VALUE"""),"")</f>
        <v/>
      </c>
      <c r="N89">
        <f>IFERROR(__xludf.DUMMYFUNCTION("""COMPUTED_VALUE"""),42074.0)</f>
        <v>42074</v>
      </c>
      <c r="O89" t="str">
        <f>IFERROR(__xludf.DUMMYFUNCTION("""COMPUTED_VALUE"""),"")</f>
        <v/>
      </c>
    </row>
    <row r="90">
      <c r="A90">
        <f>IFERROR(__xludf.DUMMYFUNCTION("""COMPUTED_VALUE"""),40.6649624)</f>
        <v>40.6649624</v>
      </c>
      <c r="B90">
        <f>IFERROR(__xludf.DUMMYFUNCTION("""COMPUTED_VALUE"""),16.6087858)</f>
        <v>16.6087858</v>
      </c>
      <c r="C90" t="str">
        <f>IFERROR(__xludf.DUMMYFUNCTION("""COMPUTED_VALUE"""),"Casa Vacanza")</f>
        <v>Casa Vacanza</v>
      </c>
      <c r="D90" t="str">
        <f>IFERROR(__xludf.DUMMYFUNCTION("""COMPUTED_VALUE"""),"CASA VACANZA MARGHERITA")</f>
        <v>CASA VACANZA MARGHERITA</v>
      </c>
      <c r="E90" t="str">
        <f>IFERROR(__xludf.DUMMYFUNCTION("""COMPUTED_VALUE"""),"PETRALLA LUCIANA VITTORIA")</f>
        <v>PETRALLA LUCIANA VITTORIA</v>
      </c>
      <c r="F90" t="str">
        <f>IFERROR(__xludf.DUMMYFUNCTION("""COMPUTED_VALUE"""),"VIA ASCANIO PERSIO")</f>
        <v>VIA ASCANIO PERSIO</v>
      </c>
      <c r="G90" t="str">
        <f>IFERROR(__xludf.DUMMYFUNCTION("""COMPUTED_VALUE"""),"Matera")</f>
        <v>Matera</v>
      </c>
      <c r="H90" t="str">
        <f>IFERROR(__xludf.DUMMYFUNCTION("""COMPUTED_VALUE"""),"Italy")</f>
        <v>Italy</v>
      </c>
      <c r="I90">
        <f>IFERROR(__xludf.DUMMYFUNCTION("""COMPUTED_VALUE"""),3030.0)</f>
        <v>3030</v>
      </c>
      <c r="J90">
        <f>IFERROR(__xludf.DUMMYFUNCTION("""COMPUTED_VALUE"""),45.0)</f>
        <v>45</v>
      </c>
      <c r="K90">
        <f>IFERROR(__xludf.DUMMYFUNCTION("""COMPUTED_VALUE"""),159.0)</f>
        <v>159</v>
      </c>
      <c r="L90" t="str">
        <f>IFERROR(__xludf.DUMMYFUNCTION("""COMPUTED_VALUE"""),"PTRVTR57P67F052Q")</f>
        <v>PTRVTR57P67F052Q</v>
      </c>
      <c r="M90">
        <f>IFERROR(__xludf.DUMMYFUNCTION("""COMPUTED_VALUE"""),3.0)</f>
        <v>3</v>
      </c>
      <c r="N90">
        <f>IFERROR(__xludf.DUMMYFUNCTION("""COMPUTED_VALUE"""),41796.0)</f>
        <v>41796</v>
      </c>
      <c r="O90" t="str">
        <f>IFERROR(__xludf.DUMMYFUNCTION("""COMPUTED_VALUE"""),"")</f>
        <v/>
      </c>
    </row>
    <row r="91">
      <c r="A91">
        <f>IFERROR(__xludf.DUMMYFUNCTION("""COMPUTED_VALUE"""),40.6725841430171)</f>
        <v>40.67258414</v>
      </c>
      <c r="B91">
        <f>IFERROR(__xludf.DUMMYFUNCTION("""COMPUTED_VALUE"""),16.600540713475)</f>
        <v>16.60054071</v>
      </c>
      <c r="C91" t="str">
        <f>IFERROR(__xludf.DUMMYFUNCTION("""COMPUTED_VALUE"""),"Casa Vacanza")</f>
        <v>Casa Vacanza</v>
      </c>
      <c r="D91" t="str">
        <f>IFERROR(__xludf.DUMMYFUNCTION("""COMPUTED_VALUE"""),"CASA VACANZA XENIA")</f>
        <v>CASA VACANZA XENIA</v>
      </c>
      <c r="E91" t="str">
        <f>IFERROR(__xludf.DUMMYFUNCTION("""COMPUTED_VALUE"""),"AMBROSECCHIA ADDOLORATA")</f>
        <v>AMBROSECCHIA ADDOLORATA</v>
      </c>
      <c r="F91" t="str">
        <f>IFERROR(__xludf.DUMMYFUNCTION("""COMPUTED_VALUE"""),"VIA DELLA CROCE 5")</f>
        <v>VIA DELLA CROCE 5</v>
      </c>
      <c r="G91" t="str">
        <f>IFERROR(__xludf.DUMMYFUNCTION("""COMPUTED_VALUE"""),"Matera")</f>
        <v>Matera</v>
      </c>
      <c r="H91" t="str">
        <f>IFERROR(__xludf.DUMMYFUNCTION("""COMPUTED_VALUE"""),"Italy")</f>
        <v>Italy</v>
      </c>
      <c r="I91">
        <f>IFERROR(__xludf.DUMMYFUNCTION("""COMPUTED_VALUE"""),966.0)</f>
        <v>966</v>
      </c>
      <c r="J91">
        <f>IFERROR(__xludf.DUMMYFUNCTION("""COMPUTED_VALUE"""),13.0)</f>
        <v>13</v>
      </c>
      <c r="K91">
        <f>IFERROR(__xludf.DUMMYFUNCTION("""COMPUTED_VALUE"""),71.0)</f>
        <v>71</v>
      </c>
      <c r="L91" t="str">
        <f>IFERROR(__xludf.DUMMYFUNCTION("""COMPUTED_VALUE"""),"MBRDLR63L54F052Z")</f>
        <v>MBRDLR63L54F052Z</v>
      </c>
      <c r="M91">
        <f>IFERROR(__xludf.DUMMYFUNCTION("""COMPUTED_VALUE"""),3.0)</f>
        <v>3</v>
      </c>
      <c r="N91">
        <f>IFERROR(__xludf.DUMMYFUNCTION("""COMPUTED_VALUE"""),42825.0)</f>
        <v>42825</v>
      </c>
      <c r="O91" t="str">
        <f>IFERROR(__xludf.DUMMYFUNCTION("""COMPUTED_VALUE"""),"")</f>
        <v/>
      </c>
    </row>
    <row r="92">
      <c r="A92">
        <f>IFERROR(__xludf.DUMMYFUNCTION("""COMPUTED_VALUE"""),40.663697)</f>
        <v>40.663697</v>
      </c>
      <c r="B92">
        <f>IFERROR(__xludf.DUMMYFUNCTION("""COMPUTED_VALUE"""),16.609497)</f>
        <v>16.609497</v>
      </c>
      <c r="C92" t="str">
        <f>IFERROR(__xludf.DUMMYFUNCTION("""COMPUTED_VALUE"""),"Casa Vacanza")</f>
        <v>Casa Vacanza</v>
      </c>
      <c r="D92" t="str">
        <f>IFERROR(__xludf.DUMMYFUNCTION("""COMPUTED_VALUE"""),"CASA VACANZE CASE NUOVE")</f>
        <v>CASA VACANZE CASE NUOVE</v>
      </c>
      <c r="E92" t="str">
        <f>IFERROR(__xludf.DUMMYFUNCTION("""COMPUTED_VALUE"""),"ANNUNZIATA IACOVONE")</f>
        <v>ANNUNZIATA IACOVONE</v>
      </c>
      <c r="F92" t="str">
        <f>IFERROR(__xludf.DUMMYFUNCTION("""COMPUTED_VALUE"""),"VICO CASE NUOVE  37")</f>
        <v>VICO CASE NUOVE  37</v>
      </c>
      <c r="G92" t="str">
        <f>IFERROR(__xludf.DUMMYFUNCTION("""COMPUTED_VALUE"""),"Matera")</f>
        <v>Matera</v>
      </c>
      <c r="H92" t="str">
        <f>IFERROR(__xludf.DUMMYFUNCTION("""COMPUTED_VALUE"""),"Italy")</f>
        <v>Italy</v>
      </c>
      <c r="I92">
        <f>IFERROR(__xludf.DUMMYFUNCTION("""COMPUTED_VALUE"""),2582.0)</f>
        <v>2582</v>
      </c>
      <c r="J92">
        <f>IFERROR(__xludf.DUMMYFUNCTION("""COMPUTED_VALUE"""),3.0)</f>
        <v>3</v>
      </c>
      <c r="K92">
        <f>IFERROR(__xludf.DUMMYFUNCTION("""COMPUTED_VALUE"""),159.0)</f>
        <v>159</v>
      </c>
      <c r="L92" t="str">
        <f>IFERROR(__xludf.DUMMYFUNCTION("""COMPUTED_VALUE"""),"CVNNNZ67R44F052H")</f>
        <v>CVNNNZ67R44F052H</v>
      </c>
      <c r="M92">
        <f>IFERROR(__xludf.DUMMYFUNCTION("""COMPUTED_VALUE"""),3.0)</f>
        <v>3</v>
      </c>
      <c r="N92">
        <f>IFERROR(__xludf.DUMMYFUNCTION("""COMPUTED_VALUE"""),42096.0)</f>
        <v>42096</v>
      </c>
      <c r="O92" t="str">
        <f>IFERROR(__xludf.DUMMYFUNCTION("""COMPUTED_VALUE"""),"")</f>
        <v/>
      </c>
    </row>
    <row r="93">
      <c r="A93">
        <f>IFERROR(__xludf.DUMMYFUNCTION("""COMPUTED_VALUE"""),40.665315)</f>
        <v>40.665315</v>
      </c>
      <c r="B93">
        <f>IFERROR(__xludf.DUMMYFUNCTION("""COMPUTED_VALUE"""),16.6016844)</f>
        <v>16.6016844</v>
      </c>
      <c r="C93" t="str">
        <f>IFERROR(__xludf.DUMMYFUNCTION("""COMPUTED_VALUE"""),"Casa Vacanza")</f>
        <v>Casa Vacanza</v>
      </c>
      <c r="D93" t="str">
        <f>IFERROR(__xludf.DUMMYFUNCTION("""COMPUTED_VALUE"""),"CASA VACANZE CORONA")</f>
        <v>CASA VACANZE CORONA</v>
      </c>
      <c r="E93" t="str">
        <f>IFERROR(__xludf.DUMMYFUNCTION("""COMPUTED_VALUE"""),"FRANCESCO RUGGIERI")</f>
        <v>FRANCESCO RUGGIERI</v>
      </c>
      <c r="F93" t="str">
        <f>IFERROR(__xludf.DUMMYFUNCTION("""COMPUTED_VALUE"""),"VIA CAPPELLUTI 14")</f>
        <v>VIA CAPPELLUTI 14</v>
      </c>
      <c r="G93" t="str">
        <f>IFERROR(__xludf.DUMMYFUNCTION("""COMPUTED_VALUE"""),"Matera")</f>
        <v>Matera</v>
      </c>
      <c r="H93" t="str">
        <f>IFERROR(__xludf.DUMMYFUNCTION("""COMPUTED_VALUE"""),"Italy")</f>
        <v>Italy</v>
      </c>
      <c r="I93">
        <f>IFERROR(__xludf.DUMMYFUNCTION("""COMPUTED_VALUE"""),221.0)</f>
        <v>221</v>
      </c>
      <c r="J93">
        <f>IFERROR(__xludf.DUMMYFUNCTION("""COMPUTED_VALUE"""),31.0)</f>
        <v>31</v>
      </c>
      <c r="K93">
        <f>IFERROR(__xludf.DUMMYFUNCTION("""COMPUTED_VALUE"""),71.0)</f>
        <v>71</v>
      </c>
      <c r="L93" t="str">
        <f>IFERROR(__xludf.DUMMYFUNCTION("""COMPUTED_VALUE"""),"RGGFNC84A24L109T")</f>
        <v>RGGFNC84A24L109T</v>
      </c>
      <c r="M93">
        <f>IFERROR(__xludf.DUMMYFUNCTION("""COMPUTED_VALUE"""),4.0)</f>
        <v>4</v>
      </c>
      <c r="N93">
        <f>IFERROR(__xludf.DUMMYFUNCTION("""COMPUTED_VALUE"""),42449.0)</f>
        <v>42449</v>
      </c>
      <c r="O93" t="str">
        <f>IFERROR(__xludf.DUMMYFUNCTION("""COMPUTED_VALUE"""),"")</f>
        <v/>
      </c>
    </row>
    <row r="94">
      <c r="A94">
        <f>IFERROR(__xludf.DUMMYFUNCTION("""COMPUTED_VALUE"""),40.6678407)</f>
        <v>40.6678407</v>
      </c>
      <c r="B94">
        <f>IFERROR(__xludf.DUMMYFUNCTION("""COMPUTED_VALUE"""),16.6091579)</f>
        <v>16.6091579</v>
      </c>
      <c r="C94" t="str">
        <f>IFERROR(__xludf.DUMMYFUNCTION("""COMPUTED_VALUE"""),"Casa Vacanza")</f>
        <v>Casa Vacanza</v>
      </c>
      <c r="D94" t="str">
        <f>IFERROR(__xludf.DUMMYFUNCTION("""COMPUTED_VALUE"""),"CASA VACANZE DEI SASSI ROSEUS")</f>
        <v>CASA VACANZE DEI SASSI ROSEUS</v>
      </c>
      <c r="E94" t="str">
        <f>IFERROR(__xludf.DUMMYFUNCTION("""COMPUTED_VALUE"""),"ANTONELLO MANNARELLI")</f>
        <v>ANTONELLO MANNARELLI</v>
      </c>
      <c r="F94" t="str">
        <f>IFERROR(__xludf.DUMMYFUNCTION("""COMPUTED_VALUE"""),"VIA SAN ROCCO 42")</f>
        <v>VIA SAN ROCCO 42</v>
      </c>
      <c r="G94" t="str">
        <f>IFERROR(__xludf.DUMMYFUNCTION("""COMPUTED_VALUE"""),"Matera")</f>
        <v>Matera</v>
      </c>
      <c r="H94" t="str">
        <f>IFERROR(__xludf.DUMMYFUNCTION("""COMPUTED_VALUE"""),"Italy")</f>
        <v>Italy</v>
      </c>
      <c r="I94">
        <f>IFERROR(__xludf.DUMMYFUNCTION("""COMPUTED_VALUE"""),350.0)</f>
        <v>350</v>
      </c>
      <c r="J94">
        <f>IFERROR(__xludf.DUMMYFUNCTION("""COMPUTED_VALUE"""),3.0)</f>
        <v>3</v>
      </c>
      <c r="K94">
        <f>IFERROR(__xludf.DUMMYFUNCTION("""COMPUTED_VALUE"""),159.0)</f>
        <v>159</v>
      </c>
      <c r="L94" t="str">
        <f>IFERROR(__xludf.DUMMYFUNCTION("""COMPUTED_VALUE"""),"MNNNNL72A24A662W")</f>
        <v>MNNNNL72A24A662W</v>
      </c>
      <c r="M94">
        <f>IFERROR(__xludf.DUMMYFUNCTION("""COMPUTED_VALUE"""),4.0)</f>
        <v>4</v>
      </c>
      <c r="N94">
        <f>IFERROR(__xludf.DUMMYFUNCTION("""COMPUTED_VALUE"""),42594.0)</f>
        <v>42594</v>
      </c>
      <c r="O94" t="str">
        <f>IFERROR(__xludf.DUMMYFUNCTION("""COMPUTED_VALUE"""),"")</f>
        <v/>
      </c>
    </row>
    <row r="95">
      <c r="A95">
        <f>IFERROR(__xludf.DUMMYFUNCTION("""COMPUTED_VALUE"""),40.6707536325696)</f>
        <v>40.67075363</v>
      </c>
      <c r="B95">
        <f>IFERROR(__xludf.DUMMYFUNCTION("""COMPUTED_VALUE"""),16.6068165652094)</f>
        <v>16.60681657</v>
      </c>
      <c r="C95" t="str">
        <f>IFERROR(__xludf.DUMMYFUNCTION("""COMPUTED_VALUE"""),"Casa Vacanza")</f>
        <v>Casa Vacanza</v>
      </c>
      <c r="D95" t="str">
        <f>IFERROR(__xludf.DUMMYFUNCTION("""COMPUTED_VALUE"""),"CASA VACANZE DIADEMA")</f>
        <v>CASA VACANZE DIADEMA</v>
      </c>
      <c r="E95" t="str">
        <f>IFERROR(__xludf.DUMMYFUNCTION("""COMPUTED_VALUE"""),"COSIMO D. GAUDIANO")</f>
        <v>COSIMO D. GAUDIANO</v>
      </c>
      <c r="F95" t="str">
        <f>IFERROR(__xludf.DUMMYFUNCTION("""COMPUTED_VALUE"""),"VIA T. TASSO 1")</f>
        <v>VIA T. TASSO 1</v>
      </c>
      <c r="G95" t="str">
        <f>IFERROR(__xludf.DUMMYFUNCTION("""COMPUTED_VALUE"""),"Matera")</f>
        <v>Matera</v>
      </c>
      <c r="H95" t="str">
        <f>IFERROR(__xludf.DUMMYFUNCTION("""COMPUTED_VALUE"""),"Italy")</f>
        <v>Italy</v>
      </c>
      <c r="I95">
        <f>IFERROR(__xludf.DUMMYFUNCTION("""COMPUTED_VALUE"""),3691.0)</f>
        <v>3691</v>
      </c>
      <c r="J95">
        <f>IFERROR(__xludf.DUMMYFUNCTION("""COMPUTED_VALUE"""),32.0)</f>
        <v>32</v>
      </c>
      <c r="K95">
        <f>IFERROR(__xludf.DUMMYFUNCTION("""COMPUTED_VALUE"""),159.0)</f>
        <v>159</v>
      </c>
      <c r="L95" t="str">
        <f>IFERROR(__xludf.DUMMYFUNCTION("""COMPUTED_VALUE"""),"GDNCMD63L29F052S")</f>
        <v>GDNCMD63L29F052S</v>
      </c>
      <c r="M95" t="str">
        <f>IFERROR(__xludf.DUMMYFUNCTION("""COMPUTED_VALUE"""),"")</f>
        <v/>
      </c>
      <c r="N95">
        <f>IFERROR(__xludf.DUMMYFUNCTION("""COMPUTED_VALUE"""),42165.0)</f>
        <v>42165</v>
      </c>
      <c r="O95">
        <f>IFERROR(__xludf.DUMMYFUNCTION("""COMPUTED_VALUE"""),1119.0)</f>
        <v>1119</v>
      </c>
    </row>
    <row r="96">
      <c r="A96">
        <f>IFERROR(__xludf.DUMMYFUNCTION("""COMPUTED_VALUE"""),40.6664975236001)</f>
        <v>40.66649752</v>
      </c>
      <c r="B96">
        <f>IFERROR(__xludf.DUMMYFUNCTION("""COMPUTED_VALUE"""),16.6125315557341)</f>
        <v>16.61253156</v>
      </c>
      <c r="C96" t="str">
        <f>IFERROR(__xludf.DUMMYFUNCTION("""COMPUTED_VALUE"""),"Casa Vacanza")</f>
        <v>Casa Vacanza</v>
      </c>
      <c r="D96" t="str">
        <f>IFERROR(__xludf.DUMMYFUNCTION("""COMPUTED_VALUE"""),"CASA VACANZE LA CIVITA")</f>
        <v>CASA VACANZE LA CIVITA</v>
      </c>
      <c r="E96" t="str">
        <f>IFERROR(__xludf.DUMMYFUNCTION("""COMPUTED_VALUE"""),"PASQUALE OLIVIERI")</f>
        <v>PASQUALE OLIVIERI</v>
      </c>
      <c r="F96" t="str">
        <f>IFERROR(__xludf.DUMMYFUNCTION("""COMPUTED_VALUE"""),"REC. SAN GIACOMO 9")</f>
        <v>REC. SAN GIACOMO 9</v>
      </c>
      <c r="G96" t="str">
        <f>IFERROR(__xludf.DUMMYFUNCTION("""COMPUTED_VALUE"""),"Matera")</f>
        <v>Matera</v>
      </c>
      <c r="H96" t="str">
        <f>IFERROR(__xludf.DUMMYFUNCTION("""COMPUTED_VALUE"""),"Italy")</f>
        <v>Italy</v>
      </c>
      <c r="I96">
        <f>IFERROR(__xludf.DUMMYFUNCTION("""COMPUTED_VALUE"""),1410.0)</f>
        <v>1410</v>
      </c>
      <c r="J96">
        <f>IFERROR(__xludf.DUMMYFUNCTION("""COMPUTED_VALUE"""),3.0)</f>
        <v>3</v>
      </c>
      <c r="K96">
        <f>IFERROR(__xludf.DUMMYFUNCTION("""COMPUTED_VALUE"""),159.0)</f>
        <v>159</v>
      </c>
      <c r="L96" t="str">
        <f>IFERROR(__xludf.DUMMYFUNCTION("""COMPUTED_VALUE"""),"LVRPQL88A03L418K")</f>
        <v>LVRPQL88A03L418K</v>
      </c>
      <c r="M96">
        <f>IFERROR(__xludf.DUMMYFUNCTION("""COMPUTED_VALUE"""),3.0)</f>
        <v>3</v>
      </c>
      <c r="N96">
        <f>IFERROR(__xludf.DUMMYFUNCTION("""COMPUTED_VALUE"""),42200.0)</f>
        <v>42200</v>
      </c>
      <c r="O96" t="str">
        <f>IFERROR(__xludf.DUMMYFUNCTION("""COMPUTED_VALUE"""),"")</f>
        <v/>
      </c>
    </row>
    <row r="97">
      <c r="A97">
        <f>IFERROR(__xludf.DUMMYFUNCTION("""COMPUTED_VALUE"""),40.6663126)</f>
        <v>40.6663126</v>
      </c>
      <c r="B97">
        <f>IFERROR(__xludf.DUMMYFUNCTION("""COMPUTED_VALUE"""),16.6049227)</f>
        <v>16.6049227</v>
      </c>
      <c r="C97" t="str">
        <f>IFERROR(__xludf.DUMMYFUNCTION("""COMPUTED_VALUE"""),"Casa Vacanza")</f>
        <v>Casa Vacanza</v>
      </c>
      <c r="D97" t="str">
        <f>IFERROR(__xludf.DUMMYFUNCTION("""COMPUTED_VALUE"""),"CASA VACANZE MARGHERITA")</f>
        <v>CASA VACANZE MARGHERITA</v>
      </c>
      <c r="E97" t="str">
        <f>IFERROR(__xludf.DUMMYFUNCTION("""COMPUTED_VALUE"""),"PETRALLA VITTORIA LUCIANA")</f>
        <v>PETRALLA VITTORIA LUCIANA</v>
      </c>
      <c r="F97" t="str">
        <f>IFERROR(__xludf.DUMMYFUNCTION("""COMPUTED_VALUE"""),"VIA A. PERSIO 31")</f>
        <v>VIA A. PERSIO 31</v>
      </c>
      <c r="G97" t="str">
        <f>IFERROR(__xludf.DUMMYFUNCTION("""COMPUTED_VALUE"""),"Matera")</f>
        <v>Matera</v>
      </c>
      <c r="H97" t="str">
        <f>IFERROR(__xludf.DUMMYFUNCTION("""COMPUTED_VALUE"""),"Italy")</f>
        <v>Italy</v>
      </c>
      <c r="I97">
        <f>IFERROR(__xludf.DUMMYFUNCTION("""COMPUTED_VALUE"""),3030.0)</f>
        <v>3030</v>
      </c>
      <c r="J97">
        <f>IFERROR(__xludf.DUMMYFUNCTION("""COMPUTED_VALUE"""),45.0)</f>
        <v>45</v>
      </c>
      <c r="K97">
        <f>IFERROR(__xludf.DUMMYFUNCTION("""COMPUTED_VALUE"""),159.0)</f>
        <v>159</v>
      </c>
      <c r="L97" t="str">
        <f>IFERROR(__xludf.DUMMYFUNCTION("""COMPUTED_VALUE"""),"PTRVTR57P67F052O")</f>
        <v>PTRVTR57P67F052O</v>
      </c>
      <c r="M97">
        <f>IFERROR(__xludf.DUMMYFUNCTION("""COMPUTED_VALUE"""),3.0)</f>
        <v>3</v>
      </c>
      <c r="N97">
        <f>IFERROR(__xludf.DUMMYFUNCTION("""COMPUTED_VALUE"""),41797.0)</f>
        <v>41797</v>
      </c>
      <c r="O97" t="str">
        <f>IFERROR(__xludf.DUMMYFUNCTION("""COMPUTED_VALUE"""),"")</f>
        <v/>
      </c>
    </row>
    <row r="98">
      <c r="A98">
        <f>IFERROR(__xludf.DUMMYFUNCTION("""COMPUTED_VALUE"""),40.6863271)</f>
        <v>40.6863271</v>
      </c>
      <c r="B98">
        <f>IFERROR(__xludf.DUMMYFUNCTION("""COMPUTED_VALUE"""),16.5684731)</f>
        <v>16.5684731</v>
      </c>
      <c r="C98" t="str">
        <f>IFERROR(__xludf.DUMMYFUNCTION("""COMPUTED_VALUE"""),"Casa Vacanza")</f>
        <v>Casa Vacanza</v>
      </c>
      <c r="D98" t="str">
        <f>IFERROR(__xludf.DUMMYFUNCTION("""COMPUTED_VALUE"""),"CASA VACANZE NINA")</f>
        <v>CASA VACANZE NINA</v>
      </c>
      <c r="E98" t="str">
        <f>IFERROR(__xludf.DUMMYFUNCTION("""COMPUTED_VALUE"""),"PARCO GATTINI SRLS")</f>
        <v>PARCO GATTINI SRLS</v>
      </c>
      <c r="F98" t="str">
        <f>IFERROR(__xludf.DUMMYFUNCTION("""COMPUTED_VALUE"""),"CONTRADA PARCO GATTINI")</f>
        <v>CONTRADA PARCO GATTINI</v>
      </c>
      <c r="G98" t="str">
        <f>IFERROR(__xludf.DUMMYFUNCTION("""COMPUTED_VALUE"""),"Matera")</f>
        <v>Matera</v>
      </c>
      <c r="H98" t="str">
        <f>IFERROR(__xludf.DUMMYFUNCTION("""COMPUTED_VALUE"""),"Italy")</f>
        <v>Italy</v>
      </c>
      <c r="I98">
        <f>IFERROR(__xludf.DUMMYFUNCTION("""COMPUTED_VALUE"""),330.0)</f>
        <v>330</v>
      </c>
      <c r="J98">
        <f>IFERROR(__xludf.DUMMYFUNCTION("""COMPUTED_VALUE"""),4.0)</f>
        <v>4</v>
      </c>
      <c r="K98">
        <f>IFERROR(__xludf.DUMMYFUNCTION("""COMPUTED_VALUE"""),50.0)</f>
        <v>50</v>
      </c>
      <c r="L98">
        <f>IFERROR(__xludf.DUMMYFUNCTION("""COMPUTED_VALUE"""),7.967100723E9)</f>
        <v>7967100723</v>
      </c>
      <c r="M98">
        <f>IFERROR(__xludf.DUMMYFUNCTION("""COMPUTED_VALUE"""),5.0)</f>
        <v>5</v>
      </c>
      <c r="N98">
        <f>IFERROR(__xludf.DUMMYFUNCTION("""COMPUTED_VALUE"""),43308.0)</f>
        <v>43308</v>
      </c>
      <c r="O98" t="str">
        <f>IFERROR(__xludf.DUMMYFUNCTION("""COMPUTED_VALUE"""),"")</f>
        <v/>
      </c>
    </row>
    <row r="99">
      <c r="A99">
        <f>IFERROR(__xludf.DUMMYFUNCTION("""COMPUTED_VALUE"""),40.669989)</f>
        <v>40.669989</v>
      </c>
      <c r="B99">
        <f>IFERROR(__xludf.DUMMYFUNCTION("""COMPUTED_VALUE"""),16.60884)</f>
        <v>16.60884</v>
      </c>
      <c r="C99" t="str">
        <f>IFERROR(__xludf.DUMMYFUNCTION("""COMPUTED_VALUE"""),"Casa Vacanza")</f>
        <v>Casa Vacanza</v>
      </c>
      <c r="D99" t="str">
        <f>IFERROR(__xludf.DUMMYFUNCTION("""COMPUTED_VALUE"""),"CASA VACANZE NONNA GIULIA")</f>
        <v>CASA VACANZE NONNA GIULIA</v>
      </c>
      <c r="E99" t="str">
        <f>IFERROR(__xludf.DUMMYFUNCTION("""COMPUTED_VALUE"""),"ANGELA MARIA BOLZONI")</f>
        <v>ANGELA MARIA BOLZONI</v>
      </c>
      <c r="F99" t="str">
        <f>IFERROR(__xludf.DUMMYFUNCTION("""COMPUTED_VALUE"""),"VIA SANTA CESAREA 49-51")</f>
        <v>VIA SANTA CESAREA 49-51</v>
      </c>
      <c r="G99" t="str">
        <f>IFERROR(__xludf.DUMMYFUNCTION("""COMPUTED_VALUE"""),"Matera")</f>
        <v>Matera</v>
      </c>
      <c r="H99" t="str">
        <f>IFERROR(__xludf.DUMMYFUNCTION("""COMPUTED_VALUE"""),"Italy")</f>
        <v>Italy</v>
      </c>
      <c r="I99">
        <f>IFERROR(__xludf.DUMMYFUNCTION("""COMPUTED_VALUE"""),3582.0)</f>
        <v>3582</v>
      </c>
      <c r="J99">
        <f>IFERROR(__xludf.DUMMYFUNCTION("""COMPUTED_VALUE"""),16.0)</f>
        <v>16</v>
      </c>
      <c r="K99">
        <f>IFERROR(__xludf.DUMMYFUNCTION("""COMPUTED_VALUE"""),159.0)</f>
        <v>159</v>
      </c>
      <c r="L99" t="str">
        <f>IFERROR(__xludf.DUMMYFUNCTION("""COMPUTED_VALUE"""),"BLZNLM60B54B961Q")</f>
        <v>BLZNLM60B54B961Q</v>
      </c>
      <c r="M99">
        <f>IFERROR(__xludf.DUMMYFUNCTION("""COMPUTED_VALUE"""),2.0)</f>
        <v>2</v>
      </c>
      <c r="N99">
        <f>IFERROR(__xludf.DUMMYFUNCTION("""COMPUTED_VALUE"""),43046.0)</f>
        <v>43046</v>
      </c>
      <c r="O99">
        <f>IFERROR(__xludf.DUMMYFUNCTION("""COMPUTED_VALUE"""),1235.0)</f>
        <v>1235</v>
      </c>
    </row>
    <row r="100">
      <c r="A100">
        <f>IFERROR(__xludf.DUMMYFUNCTION("""COMPUTED_VALUE"""),40.6759592177394)</f>
        <v>40.67595922</v>
      </c>
      <c r="B100">
        <f>IFERROR(__xludf.DUMMYFUNCTION("""COMPUTED_VALUE"""),16.5982184055641)</f>
        <v>16.59821841</v>
      </c>
      <c r="C100" t="str">
        <f>IFERROR(__xludf.DUMMYFUNCTION("""COMPUTED_VALUE"""),"Casa Vacanza")</f>
        <v>Casa Vacanza</v>
      </c>
      <c r="D100" t="str">
        <f>IFERROR(__xludf.DUMMYFUNCTION("""COMPUTED_VALUE"""),"CASA VACANZE REGINA")</f>
        <v>CASA VACANZE REGINA</v>
      </c>
      <c r="E100" t="str">
        <f>IFERROR(__xludf.DUMMYFUNCTION("""COMPUTED_VALUE"""),"LASALVIA ANTONIA")</f>
        <v>LASALVIA ANTONIA</v>
      </c>
      <c r="F100" t="str">
        <f>IFERROR(__xludf.DUMMYFUNCTION("""COMPUTED_VALUE"""),"REC.PIETRO DE VITO 3")</f>
        <v>REC.PIETRO DE VITO 3</v>
      </c>
      <c r="G100" t="str">
        <f>IFERROR(__xludf.DUMMYFUNCTION("""COMPUTED_VALUE"""),"Matera")</f>
        <v>Matera</v>
      </c>
      <c r="H100" t="str">
        <f>IFERROR(__xludf.DUMMYFUNCTION("""COMPUTED_VALUE"""),"Italy")</f>
        <v>Italy</v>
      </c>
      <c r="I100">
        <f>IFERROR(__xludf.DUMMYFUNCTION("""COMPUTED_VALUE"""),4715.0)</f>
        <v>4715</v>
      </c>
      <c r="J100">
        <f>IFERROR(__xludf.DUMMYFUNCTION("""COMPUTED_VALUE"""),7.0)</f>
        <v>7</v>
      </c>
      <c r="K100">
        <f>IFERROR(__xludf.DUMMYFUNCTION("""COMPUTED_VALUE"""),159.0)</f>
        <v>159</v>
      </c>
      <c r="L100" t="str">
        <f>IFERROR(__xludf.DUMMYFUNCTION("""COMPUTED_VALUE"""),"LSLNTN75B55F052S")</f>
        <v>LSLNTN75B55F052S</v>
      </c>
      <c r="M100">
        <f>IFERROR(__xludf.DUMMYFUNCTION("""COMPUTED_VALUE"""),3.0)</f>
        <v>3</v>
      </c>
      <c r="N100">
        <f>IFERROR(__xludf.DUMMYFUNCTION("""COMPUTED_VALUE"""),42467.0)</f>
        <v>42467</v>
      </c>
      <c r="O100" t="str">
        <f>IFERROR(__xludf.DUMMYFUNCTION("""COMPUTED_VALUE"""),"")</f>
        <v/>
      </c>
    </row>
    <row r="101">
      <c r="A101">
        <f>IFERROR(__xludf.DUMMYFUNCTION("""COMPUTED_VALUE"""),40.6608489)</f>
        <v>40.6608489</v>
      </c>
      <c r="B101">
        <f>IFERROR(__xludf.DUMMYFUNCTION("""COMPUTED_VALUE"""),16.6131396)</f>
        <v>16.6131396</v>
      </c>
      <c r="C101" t="str">
        <f>IFERROR(__xludf.DUMMYFUNCTION("""COMPUTED_VALUE"""),"Casa Vacanza")</f>
        <v>Casa Vacanza</v>
      </c>
      <c r="D101" t="str">
        <f>IFERROR(__xludf.DUMMYFUNCTION("""COMPUTED_VALUE"""),"CASA VACANZE REST'")</f>
        <v>CASA VACANZE REST'</v>
      </c>
      <c r="E101" t="str">
        <f>IFERROR(__xludf.DUMMYFUNCTION("""COMPUTED_VALUE"""),"LAMURAGLIA PASQUALE")</f>
        <v>LAMURAGLIA PASQUALE</v>
      </c>
      <c r="F101" t="str">
        <f>IFERROR(__xludf.DUMMYFUNCTION("""COMPUTED_VALUE"""),"VICO 2 CASALNUOVO 36")</f>
        <v>VICO 2 CASALNUOVO 36</v>
      </c>
      <c r="G101" t="str">
        <f>IFERROR(__xludf.DUMMYFUNCTION("""COMPUTED_VALUE"""),"Matera")</f>
        <v>Matera</v>
      </c>
      <c r="H101" t="str">
        <f>IFERROR(__xludf.DUMMYFUNCTION("""COMPUTED_VALUE"""),"Italy")</f>
        <v>Italy</v>
      </c>
      <c r="I101">
        <f>IFERROR(__xludf.DUMMYFUNCTION("""COMPUTED_VALUE"""),4005.0)</f>
        <v>4005</v>
      </c>
      <c r="J101">
        <f>IFERROR(__xludf.DUMMYFUNCTION("""COMPUTED_VALUE"""),2.0)</f>
        <v>2</v>
      </c>
      <c r="K101">
        <f>IFERROR(__xludf.DUMMYFUNCTION("""COMPUTED_VALUE"""),168.0)</f>
        <v>168</v>
      </c>
      <c r="L101" t="str">
        <f>IFERROR(__xludf.DUMMYFUNCTION("""COMPUTED_VALUE"""),"LMRPQL90S13A662T")</f>
        <v>LMRPQL90S13A662T</v>
      </c>
      <c r="M101">
        <f>IFERROR(__xludf.DUMMYFUNCTION("""COMPUTED_VALUE"""),4.0)</f>
        <v>4</v>
      </c>
      <c r="N101">
        <f>IFERROR(__xludf.DUMMYFUNCTION("""COMPUTED_VALUE"""),42934.0)</f>
        <v>42934</v>
      </c>
      <c r="O101" t="str">
        <f>IFERROR(__xludf.DUMMYFUNCTION("""COMPUTED_VALUE"""),"")</f>
        <v/>
      </c>
    </row>
    <row r="102">
      <c r="A102">
        <f>IFERROR(__xludf.DUMMYFUNCTION("""COMPUTED_VALUE"""),40.6706202022188)</f>
        <v>40.6706202</v>
      </c>
      <c r="B102">
        <f>IFERROR(__xludf.DUMMYFUNCTION("""COMPUTED_VALUE"""),16.6075184782924)</f>
        <v>16.60751848</v>
      </c>
      <c r="C102" t="str">
        <f>IFERROR(__xludf.DUMMYFUNCTION("""COMPUTED_VALUE"""),"Casa Vacanza")</f>
        <v>Casa Vacanza</v>
      </c>
      <c r="D102" t="str">
        <f>IFERROR(__xludf.DUMMYFUNCTION("""COMPUTED_VALUE"""),"CASA VACANZE ROLA")</f>
        <v>CASA VACANZE ROLA</v>
      </c>
      <c r="E102" t="str">
        <f>IFERROR(__xludf.DUMMYFUNCTION("""COMPUTED_VALUE"""),"ROCCO LA FIOSCA")</f>
        <v>ROCCO LA FIOSCA</v>
      </c>
      <c r="F102" t="str">
        <f>IFERROR(__xludf.DUMMYFUNCTION("""COMPUTED_VALUE"""),"VIA PENTASUGLIA 38 ( angolo via tasso civici 2-4)")</f>
        <v>VIA PENTASUGLIA 38 ( angolo via tasso civici 2-4)</v>
      </c>
      <c r="G102" t="str">
        <f>IFERROR(__xludf.DUMMYFUNCTION("""COMPUTED_VALUE"""),"Matera")</f>
        <v>Matera</v>
      </c>
      <c r="H102" t="str">
        <f>IFERROR(__xludf.DUMMYFUNCTION("""COMPUTED_VALUE"""),"Italy")</f>
        <v>Italy</v>
      </c>
      <c r="I102">
        <f>IFERROR(__xludf.DUMMYFUNCTION("""COMPUTED_VALUE"""),36.0)</f>
        <v>36</v>
      </c>
      <c r="J102">
        <f>IFERROR(__xludf.DUMMYFUNCTION("""COMPUTED_VALUE"""),19.0)</f>
        <v>19</v>
      </c>
      <c r="K102">
        <f>IFERROR(__xludf.DUMMYFUNCTION("""COMPUTED_VALUE"""),159.0)</f>
        <v>159</v>
      </c>
      <c r="L102" t="str">
        <f>IFERROR(__xludf.DUMMYFUNCTION("""COMPUTED_VALUE"""),"LFSCC68C13F052T")</f>
        <v>LFSCC68C13F052T</v>
      </c>
      <c r="M102">
        <f>IFERROR(__xludf.DUMMYFUNCTION("""COMPUTED_VALUE"""),3.0)</f>
        <v>3</v>
      </c>
      <c r="N102">
        <f>IFERROR(__xludf.DUMMYFUNCTION("""COMPUTED_VALUE"""),42864.0)</f>
        <v>42864</v>
      </c>
      <c r="O102">
        <f>IFERROR(__xludf.DUMMYFUNCTION("""COMPUTED_VALUE"""),1817.0)</f>
        <v>1817</v>
      </c>
    </row>
    <row r="103">
      <c r="A103">
        <f>IFERROR(__xludf.DUMMYFUNCTION("""COMPUTED_VALUE"""),40.6678407)</f>
        <v>40.6678407</v>
      </c>
      <c r="B103">
        <f>IFERROR(__xludf.DUMMYFUNCTION("""COMPUTED_VALUE"""),16.6091579)</f>
        <v>16.6091579</v>
      </c>
      <c r="C103" t="str">
        <f>IFERROR(__xludf.DUMMYFUNCTION("""COMPUTED_VALUE"""),"Casa Vacanza")</f>
        <v>Casa Vacanza</v>
      </c>
      <c r="D103" t="str">
        <f>IFERROR(__xludf.DUMMYFUNCTION("""COMPUTED_VALUE"""),"CASA VACANZE ROSEUS")</f>
        <v>CASA VACANZE ROSEUS</v>
      </c>
      <c r="E103" t="str">
        <f>IFERROR(__xludf.DUMMYFUNCTION("""COMPUTED_VALUE"""),"ANTONELLO MANNARELLI")</f>
        <v>ANTONELLO MANNARELLI</v>
      </c>
      <c r="F103" t="str">
        <f>IFERROR(__xludf.DUMMYFUNCTION("""COMPUTED_VALUE"""),"VIA SAN ROCCO 42")</f>
        <v>VIA SAN ROCCO 42</v>
      </c>
      <c r="G103" t="str">
        <f>IFERROR(__xludf.DUMMYFUNCTION("""COMPUTED_VALUE"""),"Matera")</f>
        <v>Matera</v>
      </c>
      <c r="H103" t="str">
        <f>IFERROR(__xludf.DUMMYFUNCTION("""COMPUTED_VALUE"""),"Italy")</f>
        <v>Italy</v>
      </c>
      <c r="I103">
        <f>IFERROR(__xludf.DUMMYFUNCTION("""COMPUTED_VALUE"""),350.0)</f>
        <v>350</v>
      </c>
      <c r="J103">
        <f>IFERROR(__xludf.DUMMYFUNCTION("""COMPUTED_VALUE"""),3.0)</f>
        <v>3</v>
      </c>
      <c r="K103">
        <f>IFERROR(__xludf.DUMMYFUNCTION("""COMPUTED_VALUE"""),159.0)</f>
        <v>159</v>
      </c>
      <c r="L103" t="str">
        <f>IFERROR(__xludf.DUMMYFUNCTION("""COMPUTED_VALUE"""),"MNNNNL72A24A662W")</f>
        <v>MNNNNL72A24A662W</v>
      </c>
      <c r="M103">
        <f>IFERROR(__xludf.DUMMYFUNCTION("""COMPUTED_VALUE"""),3.0)</f>
        <v>3</v>
      </c>
      <c r="N103" t="str">
        <f>IFERROR(__xludf.DUMMYFUNCTION("""COMPUTED_VALUE"""),"")</f>
        <v/>
      </c>
      <c r="O103" t="str">
        <f>IFERROR(__xludf.DUMMYFUNCTION("""COMPUTED_VALUE"""),"")</f>
        <v/>
      </c>
    </row>
    <row r="104">
      <c r="A104">
        <f>IFERROR(__xludf.DUMMYFUNCTION("""COMPUTED_VALUE"""),40.665315)</f>
        <v>40.665315</v>
      </c>
      <c r="B104">
        <f>IFERROR(__xludf.DUMMYFUNCTION("""COMPUTED_VALUE"""),16.6016844)</f>
        <v>16.6016844</v>
      </c>
      <c r="C104" t="str">
        <f>IFERROR(__xludf.DUMMYFUNCTION("""COMPUTED_VALUE"""),"Casa Vacanza")</f>
        <v>Casa Vacanza</v>
      </c>
      <c r="D104" t="str">
        <f>IFERROR(__xludf.DUMMYFUNCTION("""COMPUTED_VALUE"""),"CASA VENA'")</f>
        <v>CASA VENA'</v>
      </c>
      <c r="E104" t="str">
        <f>IFERROR(__xludf.DUMMYFUNCTION("""COMPUTED_VALUE"""),"VENANZIA RIZZI")</f>
        <v>VENANZIA RIZZI</v>
      </c>
      <c r="F104" t="str">
        <f>IFERROR(__xludf.DUMMYFUNCTION("""COMPUTED_VALUE"""),"VIA CAPPELLUTI 50")</f>
        <v>VIA CAPPELLUTI 50</v>
      </c>
      <c r="G104" t="str">
        <f>IFERROR(__xludf.DUMMYFUNCTION("""COMPUTED_VALUE"""),"Matera")</f>
        <v>Matera</v>
      </c>
      <c r="H104" t="str">
        <f>IFERROR(__xludf.DUMMYFUNCTION("""COMPUTED_VALUE"""),"Italy")</f>
        <v>Italy</v>
      </c>
      <c r="I104">
        <f>IFERROR(__xludf.DUMMYFUNCTION("""COMPUTED_VALUE"""),172.0)</f>
        <v>172</v>
      </c>
      <c r="J104">
        <f>IFERROR(__xludf.DUMMYFUNCTION("""COMPUTED_VALUE"""),20.0)</f>
        <v>20</v>
      </c>
      <c r="K104">
        <f>IFERROR(__xludf.DUMMYFUNCTION("""COMPUTED_VALUE"""),71.0)</f>
        <v>71</v>
      </c>
      <c r="L104" t="str">
        <f>IFERROR(__xludf.DUMMYFUNCTION("""COMPUTED_VALUE"""),"RZZVNZ70C57F052A")</f>
        <v>RZZVNZ70C57F052A</v>
      </c>
      <c r="M104">
        <f>IFERROR(__xludf.DUMMYFUNCTION("""COMPUTED_VALUE"""),2.0)</f>
        <v>2</v>
      </c>
      <c r="N104">
        <f>IFERROR(__xludf.DUMMYFUNCTION("""COMPUTED_VALUE"""),42923.0)</f>
        <v>42923</v>
      </c>
      <c r="O104" t="str">
        <f>IFERROR(__xludf.DUMMYFUNCTION("""COMPUTED_VALUE"""),"")</f>
        <v/>
      </c>
    </row>
    <row r="105">
      <c r="A105">
        <f>IFERROR(__xludf.DUMMYFUNCTION("""COMPUTED_VALUE"""),40.6663507)</f>
        <v>40.6663507</v>
      </c>
      <c r="B105">
        <f>IFERROR(__xludf.DUMMYFUNCTION("""COMPUTED_VALUE"""),16.6096087)</f>
        <v>16.6096087</v>
      </c>
      <c r="C105" t="str">
        <f>IFERROR(__xludf.DUMMYFUNCTION("""COMPUTED_VALUE"""),"Casa Vacanza")</f>
        <v>Casa Vacanza</v>
      </c>
      <c r="D105" t="str">
        <f>IFERROR(__xludf.DUMMYFUNCTION("""COMPUTED_VALUE"""),"CASA VETERE")</f>
        <v>CASA VETERE</v>
      </c>
      <c r="E105" t="str">
        <f>IFERROR(__xludf.DUMMYFUNCTION("""COMPUTED_VALUE"""),"ANDRULLI GIUSEPPE")</f>
        <v>ANDRULLI GIUSEPPE</v>
      </c>
      <c r="F105" t="str">
        <f>IFERROR(__xludf.DUMMYFUNCTION("""COMPUTED_VALUE"""),"VIA SETTE DOLORI 52 54")</f>
        <v>VIA SETTE DOLORI 52 54</v>
      </c>
      <c r="G105" t="str">
        <f>IFERROR(__xludf.DUMMYFUNCTION("""COMPUTED_VALUE"""),"Matera")</f>
        <v>Matera</v>
      </c>
      <c r="H105" t="str">
        <f>IFERROR(__xludf.DUMMYFUNCTION("""COMPUTED_VALUE"""),"Italy")</f>
        <v>Italy</v>
      </c>
      <c r="I105">
        <f>IFERROR(__xludf.DUMMYFUNCTION("""COMPUTED_VALUE"""),872.0)</f>
        <v>872</v>
      </c>
      <c r="J105">
        <f>IFERROR(__xludf.DUMMYFUNCTION("""COMPUTED_VALUE"""),3.0)</f>
        <v>3</v>
      </c>
      <c r="K105">
        <f>IFERROR(__xludf.DUMMYFUNCTION("""COMPUTED_VALUE"""),159.0)</f>
        <v>159</v>
      </c>
      <c r="L105" t="str">
        <f>IFERROR(__xludf.DUMMYFUNCTION("""COMPUTED_VALUE"""),"NDRGPP83E23F052H")</f>
        <v>NDRGPP83E23F052H</v>
      </c>
      <c r="M105">
        <f>IFERROR(__xludf.DUMMYFUNCTION("""COMPUTED_VALUE"""),7.0)</f>
        <v>7</v>
      </c>
      <c r="N105">
        <f>IFERROR(__xludf.DUMMYFUNCTION("""COMPUTED_VALUE"""),41835.0)</f>
        <v>41835</v>
      </c>
      <c r="O105" t="str">
        <f>IFERROR(__xludf.DUMMYFUNCTION("""COMPUTED_VALUE"""),"")</f>
        <v/>
      </c>
    </row>
    <row r="106">
      <c r="A106">
        <f>IFERROR(__xludf.DUMMYFUNCTION("""COMPUTED_VALUE"""),40.668147)</f>
        <v>40.668147</v>
      </c>
      <c r="B106">
        <f>IFERROR(__xludf.DUMMYFUNCTION("""COMPUTED_VALUE"""),16.609776)</f>
        <v>16.609776</v>
      </c>
      <c r="C106" t="str">
        <f>IFERROR(__xludf.DUMMYFUNCTION("""COMPUTED_VALUE"""),"Casa Vacanza")</f>
        <v>Casa Vacanza</v>
      </c>
      <c r="D106" t="str">
        <f>IFERROR(__xludf.DUMMYFUNCTION("""COMPUTED_VALUE"""),"CASA VITTORIA")</f>
        <v>CASA VITTORIA</v>
      </c>
      <c r="E106" t="str">
        <f>IFERROR(__xludf.DUMMYFUNCTION("""COMPUTED_VALUE"""),"MARTINO EUSTACHIO V.")</f>
        <v>MARTINO EUSTACHIO V.</v>
      </c>
      <c r="F106" t="str">
        <f>IFERROR(__xludf.DUMMYFUNCTION("""COMPUTED_VALUE"""),"VIA D'ADDOZIO 19")</f>
        <v>VIA D'ADDOZIO 19</v>
      </c>
      <c r="G106" t="str">
        <f>IFERROR(__xludf.DUMMYFUNCTION("""COMPUTED_VALUE"""),"Matera")</f>
        <v>Matera</v>
      </c>
      <c r="H106" t="str">
        <f>IFERROR(__xludf.DUMMYFUNCTION("""COMPUTED_VALUE"""),"Italy")</f>
        <v>Italy</v>
      </c>
      <c r="I106">
        <f>IFERROR(__xludf.DUMMYFUNCTION("""COMPUTED_VALUE"""),85.0)</f>
        <v>85</v>
      </c>
      <c r="J106">
        <f>IFERROR(__xludf.DUMMYFUNCTION("""COMPUTED_VALUE"""),6.0)</f>
        <v>6</v>
      </c>
      <c r="K106">
        <f>IFERROR(__xludf.DUMMYFUNCTION("""COMPUTED_VALUE"""),159.0)</f>
        <v>159</v>
      </c>
      <c r="L106" t="str">
        <f>IFERROR(__xludf.DUMMYFUNCTION("""COMPUTED_VALUE"""),"MRTSCH53B22F0520")</f>
        <v>MRTSCH53B22F0520</v>
      </c>
      <c r="M106">
        <f>IFERROR(__xludf.DUMMYFUNCTION("""COMPUTED_VALUE"""),2.0)</f>
        <v>2</v>
      </c>
      <c r="N106">
        <f>IFERROR(__xludf.DUMMYFUNCTION("""COMPUTED_VALUE"""),42024.0)</f>
        <v>42024</v>
      </c>
      <c r="O106" t="str">
        <f>IFERROR(__xludf.DUMMYFUNCTION("""COMPUTED_VALUE"""),"")</f>
        <v/>
      </c>
    </row>
    <row r="107">
      <c r="A107">
        <f>IFERROR(__xludf.DUMMYFUNCTION("""COMPUTED_VALUE"""),40.6697298642308)</f>
        <v>40.66972986</v>
      </c>
      <c r="B107">
        <f>IFERROR(__xludf.DUMMYFUNCTION("""COMPUTED_VALUE"""),16.6096920947153)</f>
        <v>16.60969209</v>
      </c>
      <c r="C107" t="str">
        <f>IFERROR(__xludf.DUMMYFUNCTION("""COMPUTED_VALUE"""),"Casa Vacanza")</f>
        <v>Casa Vacanza</v>
      </c>
      <c r="D107" t="str">
        <f>IFERROR(__xludf.DUMMYFUNCTION("""COMPUTED_VALUE"""),"CASA VITTORIA")</f>
        <v>CASA VITTORIA</v>
      </c>
      <c r="E107" t="str">
        <f>IFERROR(__xludf.DUMMYFUNCTION("""COMPUTED_VALUE"""),"EUSTACHI VINCENZO MARTINO")</f>
        <v>EUSTACHI VINCENZO MARTINO</v>
      </c>
      <c r="F107" t="str">
        <f>IFERROR(__xludf.DUMMYFUNCTION("""COMPUTED_VALUE"""),"VIA D'ADDOZIO 19")</f>
        <v>VIA D'ADDOZIO 19</v>
      </c>
      <c r="G107" t="str">
        <f>IFERROR(__xludf.DUMMYFUNCTION("""COMPUTED_VALUE"""),"Matera")</f>
        <v>Matera</v>
      </c>
      <c r="H107" t="str">
        <f>IFERROR(__xludf.DUMMYFUNCTION("""COMPUTED_VALUE"""),"Italy")</f>
        <v>Italy</v>
      </c>
      <c r="I107">
        <f>IFERROR(__xludf.DUMMYFUNCTION("""COMPUTED_VALUE"""),85.0)</f>
        <v>85</v>
      </c>
      <c r="J107">
        <f>IFERROR(__xludf.DUMMYFUNCTION("""COMPUTED_VALUE"""),6.0)</f>
        <v>6</v>
      </c>
      <c r="K107">
        <f>IFERROR(__xludf.DUMMYFUNCTION("""COMPUTED_VALUE"""),159.0)</f>
        <v>159</v>
      </c>
      <c r="L107" t="str">
        <f>IFERROR(__xludf.DUMMYFUNCTION("""COMPUTED_VALUE"""),"MRTSCH53B22F052O")</f>
        <v>MRTSCH53B22F052O</v>
      </c>
      <c r="M107">
        <f>IFERROR(__xludf.DUMMYFUNCTION("""COMPUTED_VALUE"""),3.0)</f>
        <v>3</v>
      </c>
      <c r="N107" t="str">
        <f>IFERROR(__xludf.DUMMYFUNCTION("""COMPUTED_VALUE"""),"")</f>
        <v/>
      </c>
      <c r="O107" t="str">
        <f>IFERROR(__xludf.DUMMYFUNCTION("""COMPUTED_VALUE"""),"")</f>
        <v/>
      </c>
    </row>
    <row r="108">
      <c r="A108">
        <f>IFERROR(__xludf.DUMMYFUNCTION("""COMPUTED_VALUE"""),40.6688689360788)</f>
        <v>40.66886894</v>
      </c>
      <c r="B108">
        <f>IFERROR(__xludf.DUMMYFUNCTION("""COMPUTED_VALUE"""),16.6106580265504)</f>
        <v>16.61065803</v>
      </c>
      <c r="C108" t="str">
        <f>IFERROR(__xludf.DUMMYFUNCTION("""COMPUTED_VALUE"""),"Casa Vacanza")</f>
        <v>Casa Vacanza</v>
      </c>
      <c r="D108" t="str">
        <f>IFERROR(__xludf.DUMMYFUNCTION("""COMPUTED_VALUE"""),"CASALE 24")</f>
        <v>CASALE 24</v>
      </c>
      <c r="E108" t="str">
        <f>IFERROR(__xludf.DUMMYFUNCTION("""COMPUTED_VALUE"""),"PF SRL")</f>
        <v>PF SRL</v>
      </c>
      <c r="F108" t="str">
        <f>IFERROR(__xludf.DUMMYFUNCTION("""COMPUTED_VALUE"""),"VIA CASALE 25")</f>
        <v>VIA CASALE 25</v>
      </c>
      <c r="G108" t="str">
        <f>IFERROR(__xludf.DUMMYFUNCTION("""COMPUTED_VALUE"""),"Matera")</f>
        <v>Matera</v>
      </c>
      <c r="H108" t="str">
        <f>IFERROR(__xludf.DUMMYFUNCTION("""COMPUTED_VALUE"""),"Italy")</f>
        <v>Italy</v>
      </c>
      <c r="I108">
        <f>IFERROR(__xludf.DUMMYFUNCTION("""COMPUTED_VALUE"""),1034.0)</f>
        <v>1034</v>
      </c>
      <c r="J108">
        <f>IFERROR(__xludf.DUMMYFUNCTION("""COMPUTED_VALUE"""),1.0)</f>
        <v>1</v>
      </c>
      <c r="K108">
        <f>IFERROR(__xludf.DUMMYFUNCTION("""COMPUTED_VALUE"""),159.0)</f>
        <v>159</v>
      </c>
      <c r="L108">
        <f>IFERROR(__xludf.DUMMYFUNCTION("""COMPUTED_VALUE"""),1.301920771E9)</f>
        <v>1301920771</v>
      </c>
      <c r="M108">
        <f>IFERROR(__xludf.DUMMYFUNCTION("""COMPUTED_VALUE"""),2.0)</f>
        <v>2</v>
      </c>
      <c r="N108">
        <f>IFERROR(__xludf.DUMMYFUNCTION("""COMPUTED_VALUE"""),42775.0)</f>
        <v>42775</v>
      </c>
      <c r="O108" t="str">
        <f>IFERROR(__xludf.DUMMYFUNCTION("""COMPUTED_VALUE"""),"")</f>
        <v/>
      </c>
    </row>
    <row r="109">
      <c r="A109">
        <f>IFERROR(__xludf.DUMMYFUNCTION("""COMPUTED_VALUE"""),40.6663738)</f>
        <v>40.6663738</v>
      </c>
      <c r="B109">
        <f>IFERROR(__xludf.DUMMYFUNCTION("""COMPUTED_VALUE"""),16.6075909)</f>
        <v>16.6075909</v>
      </c>
      <c r="C109" t="str">
        <f>IFERROR(__xludf.DUMMYFUNCTION("""COMPUTED_VALUE"""),"Casa Vacanza")</f>
        <v>Casa Vacanza</v>
      </c>
      <c r="D109" t="str">
        <f>IFERROR(__xludf.DUMMYFUNCTION("""COMPUTED_VALUE"""),"CASAMATA")</f>
        <v>CASAMATA</v>
      </c>
      <c r="E109" t="str">
        <f>IFERROR(__xludf.DUMMYFUNCTION("""COMPUTED_VALUE"""),"SILVIA MONACELLI")</f>
        <v>SILVIA MONACELLI</v>
      </c>
      <c r="F109" t="str">
        <f>IFERROR(__xludf.DUMMYFUNCTION("""COMPUTED_VALUE"""),"VICO LOMBARDI 27")</f>
        <v>VICO LOMBARDI 27</v>
      </c>
      <c r="G109" t="str">
        <f>IFERROR(__xludf.DUMMYFUNCTION("""COMPUTED_VALUE"""),"Matera")</f>
        <v>Matera</v>
      </c>
      <c r="H109" t="str">
        <f>IFERROR(__xludf.DUMMYFUNCTION("""COMPUTED_VALUE"""),"Italy")</f>
        <v>Italy</v>
      </c>
      <c r="I109">
        <f>IFERROR(__xludf.DUMMYFUNCTION("""COMPUTED_VALUE"""),645.0)</f>
        <v>645</v>
      </c>
      <c r="J109">
        <f>IFERROR(__xludf.DUMMYFUNCTION("""COMPUTED_VALUE"""),2.0)</f>
        <v>2</v>
      </c>
      <c r="K109">
        <f>IFERROR(__xludf.DUMMYFUNCTION("""COMPUTED_VALUE"""),159.0)</f>
        <v>159</v>
      </c>
      <c r="L109">
        <f>IFERROR(__xludf.DUMMYFUNCTION("""COMPUTED_VALUE"""),1.31134077E9)</f>
        <v>1311340770</v>
      </c>
      <c r="M109">
        <f>IFERROR(__xludf.DUMMYFUNCTION("""COMPUTED_VALUE"""),5.0)</f>
        <v>5</v>
      </c>
      <c r="N109">
        <f>IFERROR(__xludf.DUMMYFUNCTION("""COMPUTED_VALUE"""),42587.0)</f>
        <v>42587</v>
      </c>
      <c r="O109" t="str">
        <f>IFERROR(__xludf.DUMMYFUNCTION("""COMPUTED_VALUE"""),"")</f>
        <v/>
      </c>
    </row>
    <row r="110">
      <c r="A110">
        <f>IFERROR(__xludf.DUMMYFUNCTION("""COMPUTED_VALUE"""),40.6602902199849)</f>
        <v>40.66029022</v>
      </c>
      <c r="B110">
        <f>IFERROR(__xludf.DUMMYFUNCTION("""COMPUTED_VALUE"""),16.6138571913838)</f>
        <v>16.61385719</v>
      </c>
      <c r="C110" t="str">
        <f>IFERROR(__xludf.DUMMYFUNCTION("""COMPUTED_VALUE"""),"Casa Vacanza")</f>
        <v>Casa Vacanza</v>
      </c>
      <c r="D110" t="str">
        <f>IFERROR(__xludf.DUMMYFUNCTION("""COMPUTED_VALUE"""),"CASATELIER ERBAVENTO")</f>
        <v>CASATELIER ERBAVENTO</v>
      </c>
      <c r="E110" t="str">
        <f>IFERROR(__xludf.DUMMYFUNCTION("""COMPUTED_VALUE"""),"ANDRISANI ANTONELLA")</f>
        <v>ANDRISANI ANTONELLA</v>
      </c>
      <c r="F110" t="str">
        <f>IFERROR(__xludf.DUMMYFUNCTION("""COMPUTED_VALUE"""),"VIA CASALNUOVO 130")</f>
        <v>VIA CASALNUOVO 130</v>
      </c>
      <c r="G110" t="str">
        <f>IFERROR(__xludf.DUMMYFUNCTION("""COMPUTED_VALUE"""),"Matera")</f>
        <v>Matera</v>
      </c>
      <c r="H110" t="str">
        <f>IFERROR(__xludf.DUMMYFUNCTION("""COMPUTED_VALUE"""),"Italy")</f>
        <v>Italy</v>
      </c>
      <c r="I110">
        <f>IFERROR(__xludf.DUMMYFUNCTION("""COMPUTED_VALUE"""),3494.0)</f>
        <v>3494</v>
      </c>
      <c r="J110">
        <f>IFERROR(__xludf.DUMMYFUNCTION("""COMPUTED_VALUE"""),5.0)</f>
        <v>5</v>
      </c>
      <c r="K110">
        <f>IFERROR(__xludf.DUMMYFUNCTION("""COMPUTED_VALUE"""),159.0)</f>
        <v>159</v>
      </c>
      <c r="L110" t="str">
        <f>IFERROR(__xludf.DUMMYFUNCTION("""COMPUTED_VALUE"""),"NDRNNL82S43F052F")</f>
        <v>NDRNNL82S43F052F</v>
      </c>
      <c r="M110">
        <f>IFERROR(__xludf.DUMMYFUNCTION("""COMPUTED_VALUE"""),4.0)</f>
        <v>4</v>
      </c>
      <c r="N110">
        <f>IFERROR(__xludf.DUMMYFUNCTION("""COMPUTED_VALUE"""),43157.0)</f>
        <v>43157</v>
      </c>
      <c r="O110" t="str">
        <f>IFERROR(__xludf.DUMMYFUNCTION("""COMPUTED_VALUE"""),"")</f>
        <v/>
      </c>
    </row>
    <row r="111">
      <c r="A111">
        <f>IFERROR(__xludf.DUMMYFUNCTION("""COMPUTED_VALUE"""),40.666275)</f>
        <v>40.666275</v>
      </c>
      <c r="B111">
        <f>IFERROR(__xludf.DUMMYFUNCTION("""COMPUTED_VALUE"""),16.607058)</f>
        <v>16.607058</v>
      </c>
      <c r="C111" t="str">
        <f>IFERROR(__xludf.DUMMYFUNCTION("""COMPUTED_VALUE"""),"Casa Vacanza")</f>
        <v>Casa Vacanza</v>
      </c>
      <c r="D111" t="str">
        <f>IFERROR(__xludf.DUMMYFUNCTION("""COMPUTED_VALUE"""),"CASINO SAN GIUSEPPE")</f>
        <v>CASINO SAN GIUSEPPE</v>
      </c>
      <c r="E111" t="str">
        <f>IFERROR(__xludf.DUMMYFUNCTION("""COMPUTED_VALUE"""),"NOTARO ANDREA")</f>
        <v>NOTARO ANDREA</v>
      </c>
      <c r="F111" t="str">
        <f>IFERROR(__xludf.DUMMYFUNCTION("""COMPUTED_VALUE"""),"VICO SAN GIUSEPPE 4")</f>
        <v>VICO SAN GIUSEPPE 4</v>
      </c>
      <c r="G111" t="str">
        <f>IFERROR(__xludf.DUMMYFUNCTION("""COMPUTED_VALUE"""),"Matera")</f>
        <v>Matera</v>
      </c>
      <c r="H111" t="str">
        <f>IFERROR(__xludf.DUMMYFUNCTION("""COMPUTED_VALUE"""),"Italy")</f>
        <v>Italy</v>
      </c>
      <c r="I111">
        <f>IFERROR(__xludf.DUMMYFUNCTION("""COMPUTED_VALUE"""),674.0)</f>
        <v>674</v>
      </c>
      <c r="J111">
        <f>IFERROR(__xludf.DUMMYFUNCTION("""COMPUTED_VALUE"""),16.0)</f>
        <v>16</v>
      </c>
      <c r="K111">
        <f>IFERROR(__xludf.DUMMYFUNCTION("""COMPUTED_VALUE"""),159.0)</f>
        <v>159</v>
      </c>
      <c r="L111" t="str">
        <f>IFERROR(__xludf.DUMMYFUNCTION("""COMPUTED_VALUE"""),"NTRNDR83H13F052R")</f>
        <v>NTRNDR83H13F052R</v>
      </c>
      <c r="M111">
        <f>IFERROR(__xludf.DUMMYFUNCTION("""COMPUTED_VALUE"""),2.0)</f>
        <v>2</v>
      </c>
      <c r="N111">
        <f>IFERROR(__xludf.DUMMYFUNCTION("""COMPUTED_VALUE"""),42678.0)</f>
        <v>42678</v>
      </c>
      <c r="O111" t="str">
        <f>IFERROR(__xludf.DUMMYFUNCTION("""COMPUTED_VALUE"""),"")</f>
        <v/>
      </c>
    </row>
    <row r="112">
      <c r="A112">
        <f>IFERROR(__xludf.DUMMYFUNCTION("""COMPUTED_VALUE"""),40.6626457)</f>
        <v>40.6626457</v>
      </c>
      <c r="B112">
        <f>IFERROR(__xludf.DUMMYFUNCTION("""COMPUTED_VALUE"""),16.607052)</f>
        <v>16.607052</v>
      </c>
      <c r="C112" t="str">
        <f>IFERROR(__xludf.DUMMYFUNCTION("""COMPUTED_VALUE"""),"Casa vacanza")</f>
        <v>Casa vacanza</v>
      </c>
      <c r="D112" t="str">
        <f>IFERROR(__xludf.DUMMYFUNCTION("""COMPUTED_VALUE"""),"CASISINA")</f>
        <v>CASISINA</v>
      </c>
      <c r="E112" t="str">
        <f>IFERROR(__xludf.DUMMYFUNCTION("""COMPUTED_VALUE"""),"DI LECCE CHIARA")</f>
        <v>DI LECCE CHIARA</v>
      </c>
      <c r="F112" t="str">
        <f>IFERROR(__xludf.DUMMYFUNCTION("""COMPUTED_VALUE"""),"VIA A. SERRAO 9")</f>
        <v>VIA A. SERRAO 9</v>
      </c>
      <c r="G112" t="str">
        <f>IFERROR(__xludf.DUMMYFUNCTION("""COMPUTED_VALUE"""),"Matera")</f>
        <v>Matera</v>
      </c>
      <c r="H112" t="str">
        <f>IFERROR(__xludf.DUMMYFUNCTION("""COMPUTED_VALUE"""),"Italy")</f>
        <v>Italy</v>
      </c>
      <c r="I112">
        <f>IFERROR(__xludf.DUMMYFUNCTION("""COMPUTED_VALUE"""),165.0)</f>
        <v>165</v>
      </c>
      <c r="J112">
        <f>IFERROR(__xludf.DUMMYFUNCTION("""COMPUTED_VALUE"""),6.0)</f>
        <v>6</v>
      </c>
      <c r="K112">
        <f>IFERROR(__xludf.DUMMYFUNCTION("""COMPUTED_VALUE"""),103.0)</f>
        <v>103</v>
      </c>
      <c r="L112" t="str">
        <f>IFERROR(__xludf.DUMMYFUNCTION("""COMPUTED_VALUE"""),"DLCCHR82P68F052U")</f>
        <v>DLCCHR82P68F052U</v>
      </c>
      <c r="M112">
        <f>IFERROR(__xludf.DUMMYFUNCTION("""COMPUTED_VALUE"""),2.0)</f>
        <v>2</v>
      </c>
      <c r="N112">
        <f>IFERROR(__xludf.DUMMYFUNCTION("""COMPUTED_VALUE"""),42573.0)</f>
        <v>42573</v>
      </c>
      <c r="O112">
        <f>IFERROR(__xludf.DUMMYFUNCTION("""COMPUTED_VALUE"""),1157.0)</f>
        <v>1157</v>
      </c>
    </row>
    <row r="113">
      <c r="A113">
        <f>IFERROR(__xludf.DUMMYFUNCTION("""COMPUTED_VALUE"""),40.6625347536372)</f>
        <v>40.66253475</v>
      </c>
      <c r="B113">
        <f>IFERROR(__xludf.DUMMYFUNCTION("""COMPUTED_VALUE"""),16.6073260059982)</f>
        <v>16.60732601</v>
      </c>
      <c r="C113" t="str">
        <f>IFERROR(__xludf.DUMMYFUNCTION("""COMPUTED_VALUE"""),"Casa Vacanza")</f>
        <v>Casa Vacanza</v>
      </c>
      <c r="D113" t="str">
        <f>IFERROR(__xludf.DUMMYFUNCTION("""COMPUTED_VALUE"""),"CASTEL RIDOLA")</f>
        <v>CASTEL RIDOLA</v>
      </c>
      <c r="E113" t="str">
        <f>IFERROR(__xludf.DUMMYFUNCTION("""COMPUTED_VALUE"""),"ENRICO IACOBUCCI")</f>
        <v>ENRICO IACOBUCCI</v>
      </c>
      <c r="F113" t="str">
        <f>IFERROR(__xludf.DUMMYFUNCTION("""COMPUTED_VALUE"""),"VIA A. SERRAO 71 PIANO2")</f>
        <v>VIA A. SERRAO 71 PIANO2</v>
      </c>
      <c r="G113" t="str">
        <f>IFERROR(__xludf.DUMMYFUNCTION("""COMPUTED_VALUE"""),"Matera")</f>
        <v>Matera</v>
      </c>
      <c r="H113" t="str">
        <f>IFERROR(__xludf.DUMMYFUNCTION("""COMPUTED_VALUE"""),"Italy")</f>
        <v>Italy</v>
      </c>
      <c r="I113">
        <f>IFERROR(__xludf.DUMMYFUNCTION("""COMPUTED_VALUE"""),322.0)</f>
        <v>322</v>
      </c>
      <c r="J113">
        <f>IFERROR(__xludf.DUMMYFUNCTION("""COMPUTED_VALUE"""),4.0)</f>
        <v>4</v>
      </c>
      <c r="K113">
        <f>IFERROR(__xludf.DUMMYFUNCTION("""COMPUTED_VALUE"""),103.0)</f>
        <v>103</v>
      </c>
      <c r="L113" t="str">
        <f>IFERROR(__xludf.DUMMYFUNCTION("""COMPUTED_VALUE"""),"CBCNRC55C18F052P")</f>
        <v>CBCNRC55C18F052P</v>
      </c>
      <c r="M113">
        <f>IFERROR(__xludf.DUMMYFUNCTION("""COMPUTED_VALUE"""),7.0)</f>
        <v>7</v>
      </c>
      <c r="N113">
        <f>IFERROR(__xludf.DUMMYFUNCTION("""COMPUTED_VALUE"""),42507.0)</f>
        <v>42507</v>
      </c>
      <c r="O113" t="str">
        <f>IFERROR(__xludf.DUMMYFUNCTION("""COMPUTED_VALUE"""),"")</f>
        <v/>
      </c>
    </row>
    <row r="114">
      <c r="A114">
        <f>IFERROR(__xludf.DUMMYFUNCTION("""COMPUTED_VALUE"""),40.6684102583999)</f>
        <v>40.66841026</v>
      </c>
      <c r="B114">
        <f>IFERROR(__xludf.DUMMYFUNCTION("""COMPUTED_VALUE"""),16.6000846111865)</f>
        <v>16.60008461</v>
      </c>
      <c r="C114" t="str">
        <f>IFERROR(__xludf.DUMMYFUNCTION("""COMPUTED_VALUE"""),"Casa Vacanza")</f>
        <v>Casa Vacanza</v>
      </c>
      <c r="D114" t="str">
        <f>IFERROR(__xludf.DUMMYFUNCTION("""COMPUTED_VALUE"""),"CENTRALE")</f>
        <v>CENTRALE</v>
      </c>
      <c r="E114" t="str">
        <f>IFERROR(__xludf.DUMMYFUNCTION("""COMPUTED_VALUE"""),"D'ALESSANDRO DIMITRI")</f>
        <v>D'ALESSANDRO DIMITRI</v>
      </c>
      <c r="F114" t="str">
        <f>IFERROR(__xludf.DUMMYFUNCTION("""COMPUTED_VALUE"""),"VIA U. LA MAFA 108-6 PIANO")</f>
        <v>VIA U. LA MAFA 108-6 PIANO</v>
      </c>
      <c r="G114" t="str">
        <f>IFERROR(__xludf.DUMMYFUNCTION("""COMPUTED_VALUE"""),"Matera")</f>
        <v>Matera</v>
      </c>
      <c r="H114" t="str">
        <f>IFERROR(__xludf.DUMMYFUNCTION("""COMPUTED_VALUE"""),"Italy")</f>
        <v>Italy</v>
      </c>
      <c r="I114">
        <f>IFERROR(__xludf.DUMMYFUNCTION("""COMPUTED_VALUE"""),2096.0)</f>
        <v>2096</v>
      </c>
      <c r="J114">
        <f>IFERROR(__xludf.DUMMYFUNCTION("""COMPUTED_VALUE"""),38.0)</f>
        <v>38</v>
      </c>
      <c r="K114">
        <f>IFERROR(__xludf.DUMMYFUNCTION("""COMPUTED_VALUE"""),71.0)</f>
        <v>71</v>
      </c>
      <c r="L114" t="str">
        <f>IFERROR(__xludf.DUMMYFUNCTION("""COMPUTED_VALUE"""),"DLSDTR76C08F052X")</f>
        <v>DLSDTR76C08F052X</v>
      </c>
      <c r="M114">
        <f>IFERROR(__xludf.DUMMYFUNCTION("""COMPUTED_VALUE"""),2.0)</f>
        <v>2</v>
      </c>
      <c r="N114">
        <f>IFERROR(__xludf.DUMMYFUNCTION("""COMPUTED_VALUE"""),42367.0)</f>
        <v>42367</v>
      </c>
      <c r="O114" t="str">
        <f>IFERROR(__xludf.DUMMYFUNCTION("""COMPUTED_VALUE"""),"")</f>
        <v/>
      </c>
    </row>
    <row r="115">
      <c r="A115">
        <f>IFERROR(__xludf.DUMMYFUNCTION("""COMPUTED_VALUE"""),40.6730773026)</f>
        <v>40.6730773</v>
      </c>
      <c r="B115">
        <f>IFERROR(__xludf.DUMMYFUNCTION("""COMPUTED_VALUE"""),16.6002963102228)</f>
        <v>16.60029631</v>
      </c>
      <c r="C115" t="str">
        <f>IFERROR(__xludf.DUMMYFUNCTION("""COMPUTED_VALUE"""),"Casa Vacanza ")</f>
        <v>Casa Vacanza </v>
      </c>
      <c r="D115" t="str">
        <f>IFERROR(__xludf.DUMMYFUNCTION("""COMPUTED_VALUE"""),"CHESAMI'")</f>
        <v>CHESAMI'</v>
      </c>
      <c r="E115" t="str">
        <f>IFERROR(__xludf.DUMMYFUNCTION("""COMPUTED_VALUE"""),"CANCELLIERE PAOLA")</f>
        <v>CANCELLIERE PAOLA</v>
      </c>
      <c r="F115" t="str">
        <f>IFERROR(__xludf.DUMMYFUNCTION("""COMPUTED_VALUE"""),"VIA TOMMASO TRAETTA 4")</f>
        <v>VIA TOMMASO TRAETTA 4</v>
      </c>
      <c r="G115" t="str">
        <f>IFERROR(__xludf.DUMMYFUNCTION("""COMPUTED_VALUE"""),"Matera")</f>
        <v>Matera</v>
      </c>
      <c r="H115" t="str">
        <f>IFERROR(__xludf.DUMMYFUNCTION("""COMPUTED_VALUE"""),"Italy")</f>
        <v>Italy</v>
      </c>
      <c r="I115">
        <f>IFERROR(__xludf.DUMMYFUNCTION("""COMPUTED_VALUE"""),557.0)</f>
        <v>557</v>
      </c>
      <c r="J115">
        <f>IFERROR(__xludf.DUMMYFUNCTION("""COMPUTED_VALUE"""),35.0)</f>
        <v>35</v>
      </c>
      <c r="K115">
        <f>IFERROR(__xludf.DUMMYFUNCTION("""COMPUTED_VALUE"""),71.0)</f>
        <v>71</v>
      </c>
      <c r="L115" t="str">
        <f>IFERROR(__xludf.DUMMYFUNCTION("""COMPUTED_VALUE"""),"CNCPLA63P63F052O")</f>
        <v>CNCPLA63P63F052O</v>
      </c>
      <c r="M115">
        <f>IFERROR(__xludf.DUMMYFUNCTION("""COMPUTED_VALUE"""),5.0)</f>
        <v>5</v>
      </c>
      <c r="N115">
        <f>IFERROR(__xludf.DUMMYFUNCTION("""COMPUTED_VALUE"""),43131.0)</f>
        <v>43131</v>
      </c>
      <c r="O115" t="str">
        <f>IFERROR(__xludf.DUMMYFUNCTION("""COMPUTED_VALUE"""),"")</f>
        <v/>
      </c>
    </row>
    <row r="116">
      <c r="A116">
        <f>IFERROR(__xludf.DUMMYFUNCTION("""COMPUTED_VALUE"""),40.6702248969708)</f>
        <v>40.6702249</v>
      </c>
      <c r="B116">
        <f>IFERROR(__xludf.DUMMYFUNCTION("""COMPUTED_VALUE"""),16.6085193857962)</f>
        <v>16.60851939</v>
      </c>
      <c r="C116" t="str">
        <f>IFERROR(__xludf.DUMMYFUNCTION("""COMPUTED_VALUE"""),"Casa Vacanza")</f>
        <v>Casa Vacanza</v>
      </c>
      <c r="D116" t="str">
        <f>IFERROR(__xludf.DUMMYFUNCTION("""COMPUTED_VALUE"""),"CHIARA")</f>
        <v>CHIARA</v>
      </c>
      <c r="E116" t="str">
        <f>IFERROR(__xludf.DUMMYFUNCTION("""COMPUTED_VALUE"""),"TRALLI VINCENZO")</f>
        <v>TRALLI VINCENZO</v>
      </c>
      <c r="F116" t="str">
        <f>IFERROR(__xludf.DUMMYFUNCTION("""COMPUTED_VALUE"""),"VICO II P. FESTA 28")</f>
        <v>VICO II P. FESTA 28</v>
      </c>
      <c r="G116" t="str">
        <f>IFERROR(__xludf.DUMMYFUNCTION("""COMPUTED_VALUE"""),"Matera")</f>
        <v>Matera</v>
      </c>
      <c r="H116" t="str">
        <f>IFERROR(__xludf.DUMMYFUNCTION("""COMPUTED_VALUE"""),"Italy")</f>
        <v>Italy</v>
      </c>
      <c r="I116">
        <f>IFERROR(__xludf.DUMMYFUNCTION("""COMPUTED_VALUE"""),3575.0)</f>
        <v>3575</v>
      </c>
      <c r="J116">
        <f>IFERROR(__xludf.DUMMYFUNCTION("""COMPUTED_VALUE"""),23.0)</f>
        <v>23</v>
      </c>
      <c r="K116">
        <f>IFERROR(__xludf.DUMMYFUNCTION("""COMPUTED_VALUE"""),159.0)</f>
        <v>159</v>
      </c>
      <c r="L116" t="str">
        <f>IFERROR(__xludf.DUMMYFUNCTION("""COMPUTED_VALUE"""),"TRLVCN68C11F052P")</f>
        <v>TRLVCN68C11F052P</v>
      </c>
      <c r="M116">
        <f>IFERROR(__xludf.DUMMYFUNCTION("""COMPUTED_VALUE"""),4.0)</f>
        <v>4</v>
      </c>
      <c r="N116">
        <f>IFERROR(__xludf.DUMMYFUNCTION("""COMPUTED_VALUE"""),42453.0)</f>
        <v>42453</v>
      </c>
      <c r="O116" t="str">
        <f>IFERROR(__xludf.DUMMYFUNCTION("""COMPUTED_VALUE"""),"")</f>
        <v/>
      </c>
    </row>
    <row r="117">
      <c r="A117">
        <f>IFERROR(__xludf.DUMMYFUNCTION("""COMPUTED_VALUE"""),40.6669021478672)</f>
        <v>40.66690215</v>
      </c>
      <c r="B117">
        <f>IFERROR(__xludf.DUMMYFUNCTION("""COMPUTED_VALUE"""),16.607844212298)</f>
        <v>16.60784421</v>
      </c>
      <c r="C117" t="str">
        <f>IFERROR(__xludf.DUMMYFUNCTION("""COMPUTED_VALUE"""),"Casa Vacanza")</f>
        <v>Casa Vacanza</v>
      </c>
      <c r="D117" t="str">
        <f>IFERROR(__xludf.DUMMYFUNCTION("""COMPUTED_VALUE"""),"CHOABITAT SASSI")</f>
        <v>CHOABITAT SASSI</v>
      </c>
      <c r="E117" t="str">
        <f>IFERROR(__xludf.DUMMYFUNCTION("""COMPUTED_VALUE"""),"LEANO CANCELLIERE")</f>
        <v>LEANO CANCELLIERE</v>
      </c>
      <c r="F117" t="str">
        <f>IFERROR(__xludf.DUMMYFUNCTION("""COMPUTED_VALUE"""),"VICOLO FORNACI VECCHIE 43")</f>
        <v>VICOLO FORNACI VECCHIE 43</v>
      </c>
      <c r="G117" t="str">
        <f>IFERROR(__xludf.DUMMYFUNCTION("""COMPUTED_VALUE"""),"Matera")</f>
        <v>Matera</v>
      </c>
      <c r="H117" t="str">
        <f>IFERROR(__xludf.DUMMYFUNCTION("""COMPUTED_VALUE"""),"Italy")</f>
        <v>Italy</v>
      </c>
      <c r="I117">
        <f>IFERROR(__xludf.DUMMYFUNCTION("""COMPUTED_VALUE"""),574.0)</f>
        <v>574</v>
      </c>
      <c r="J117">
        <f>IFERROR(__xludf.DUMMYFUNCTION("""COMPUTED_VALUE"""),6.0)</f>
        <v>6</v>
      </c>
      <c r="K117">
        <f>IFERROR(__xludf.DUMMYFUNCTION("""COMPUTED_VALUE"""),159.0)</f>
        <v>159</v>
      </c>
      <c r="L117">
        <f>IFERROR(__xludf.DUMMYFUNCTION("""COMPUTED_VALUE"""),3.68670774E8)</f>
        <v>368670774</v>
      </c>
      <c r="M117">
        <f>IFERROR(__xludf.DUMMYFUNCTION("""COMPUTED_VALUE"""),3.0)</f>
        <v>3</v>
      </c>
      <c r="N117">
        <f>IFERROR(__xludf.DUMMYFUNCTION("""COMPUTED_VALUE"""),42349.0)</f>
        <v>42349</v>
      </c>
      <c r="O117" t="str">
        <f>IFERROR(__xludf.DUMMYFUNCTION("""COMPUTED_VALUE"""),"")</f>
        <v/>
      </c>
    </row>
    <row r="118">
      <c r="A118">
        <f>IFERROR(__xludf.DUMMYFUNCTION("""COMPUTED_VALUE"""),40.6649542348746)</f>
        <v>40.66495423</v>
      </c>
      <c r="B118">
        <f>IFERROR(__xludf.DUMMYFUNCTION("""COMPUTED_VALUE"""),16.5906365986429)</f>
        <v>16.5906366</v>
      </c>
      <c r="C118" t="str">
        <f>IFERROR(__xludf.DUMMYFUNCTION("""COMPUTED_VALUE"""),"Casa Vacanza")</f>
        <v>Casa Vacanza</v>
      </c>
      <c r="D118" t="str">
        <f>IFERROR(__xludf.DUMMYFUNCTION("""COMPUTED_VALUE"""),"CICCIO &amp; ROSA")</f>
        <v>CICCIO &amp; ROSA</v>
      </c>
      <c r="E118" t="str">
        <f>IFERROR(__xludf.DUMMYFUNCTION("""COMPUTED_VALUE"""),"SCHIUMA MARIA ")</f>
        <v>SCHIUMA MARIA </v>
      </c>
      <c r="F118" t="str">
        <f>IFERROR(__xludf.DUMMYFUNCTION("""COMPUTED_VALUE"""),"VIALE PADRE SERFINO DA SALANDRA 5")</f>
        <v>VIALE PADRE SERFINO DA SALANDRA 5</v>
      </c>
      <c r="G118" t="str">
        <f>IFERROR(__xludf.DUMMYFUNCTION("""COMPUTED_VALUE"""),"Matera")</f>
        <v>Matera</v>
      </c>
      <c r="H118" t="str">
        <f>IFERROR(__xludf.DUMMYFUNCTION("""COMPUTED_VALUE"""),"Italy")</f>
        <v>Italy</v>
      </c>
      <c r="I118">
        <f>IFERROR(__xludf.DUMMYFUNCTION("""COMPUTED_VALUE"""),390.0)</f>
        <v>390</v>
      </c>
      <c r="J118">
        <f>IFERROR(__xludf.DUMMYFUNCTION("""COMPUTED_VALUE"""),20.0)</f>
        <v>20</v>
      </c>
      <c r="K118">
        <f>IFERROR(__xludf.DUMMYFUNCTION("""COMPUTED_VALUE"""),69.0)</f>
        <v>69</v>
      </c>
      <c r="L118" t="str">
        <f>IFERROR(__xludf.DUMMYFUNCTION("""COMPUTED_VALUE"""),"SCHMRA61L49F052I")</f>
        <v>SCHMRA61L49F052I</v>
      </c>
      <c r="M118">
        <f>IFERROR(__xludf.DUMMYFUNCTION("""COMPUTED_VALUE"""),4.0)</f>
        <v>4</v>
      </c>
      <c r="N118" t="str">
        <f>IFERROR(__xludf.DUMMYFUNCTION("""COMPUTED_VALUE"""),"")</f>
        <v/>
      </c>
      <c r="O118" t="str">
        <f>IFERROR(__xludf.DUMMYFUNCTION("""COMPUTED_VALUE"""),"")</f>
        <v/>
      </c>
    </row>
    <row r="119">
      <c r="A119">
        <f>IFERROR(__xludf.DUMMYFUNCTION("""COMPUTED_VALUE"""),40.666379)</f>
        <v>40.666379</v>
      </c>
      <c r="B119">
        <f>IFERROR(__xludf.DUMMYFUNCTION("""COMPUTED_VALUE"""),16.6043199)</f>
        <v>16.6043199</v>
      </c>
      <c r="C119" t="str">
        <f>IFERROR(__xludf.DUMMYFUNCTION("""COMPUTED_VALUE"""),"Casa Vacanza")</f>
        <v>Casa Vacanza</v>
      </c>
      <c r="D119" t="str">
        <f>IFERROR(__xludf.DUMMYFUNCTION("""COMPUTED_VALUE"""),"CICCIO E ROSA")</f>
        <v>CICCIO E ROSA</v>
      </c>
      <c r="E119" t="str">
        <f>IFERROR(__xludf.DUMMYFUNCTION("""COMPUTED_VALUE"""),"SCHIUMA MARIA E.")</f>
        <v>SCHIUMA MARIA E.</v>
      </c>
      <c r="F119" t="str">
        <f>IFERROR(__xludf.DUMMYFUNCTION("""COMPUTED_VALUE"""),"VIA LA CROCE 9/B")</f>
        <v>VIA LA CROCE 9/B</v>
      </c>
      <c r="G119" t="str">
        <f>IFERROR(__xludf.DUMMYFUNCTION("""COMPUTED_VALUE"""),"Matera")</f>
        <v>Matera</v>
      </c>
      <c r="H119" t="str">
        <f>IFERROR(__xludf.DUMMYFUNCTION("""COMPUTED_VALUE"""),"Italy")</f>
        <v>Italy</v>
      </c>
      <c r="I119">
        <f>IFERROR(__xludf.DUMMYFUNCTION("""COMPUTED_VALUE"""),390.0)</f>
        <v>390</v>
      </c>
      <c r="J119">
        <f>IFERROR(__xludf.DUMMYFUNCTION("""COMPUTED_VALUE"""),20.0)</f>
        <v>20</v>
      </c>
      <c r="K119">
        <f>IFERROR(__xludf.DUMMYFUNCTION("""COMPUTED_VALUE"""),69.0)</f>
        <v>69</v>
      </c>
      <c r="L119">
        <f>IFERROR(__xludf.DUMMYFUNCTION("""COMPUTED_VALUE"""),1.20616077E9)</f>
        <v>1206160770</v>
      </c>
      <c r="M119">
        <f>IFERROR(__xludf.DUMMYFUNCTION("""COMPUTED_VALUE"""),5.0)</f>
        <v>5</v>
      </c>
      <c r="N119">
        <f>IFERROR(__xludf.DUMMYFUNCTION("""COMPUTED_VALUE"""),42576.0)</f>
        <v>42576</v>
      </c>
      <c r="O119" t="str">
        <f>IFERROR(__xludf.DUMMYFUNCTION("""COMPUTED_VALUE"""),"")</f>
        <v/>
      </c>
    </row>
    <row r="120">
      <c r="A120">
        <f>IFERROR(__xludf.DUMMYFUNCTION("""COMPUTED_VALUE"""),40.6442178307625)</f>
        <v>40.64421783</v>
      </c>
      <c r="B120">
        <f>IFERROR(__xludf.DUMMYFUNCTION("""COMPUTED_VALUE"""),16.6244026200251)</f>
        <v>16.62440262</v>
      </c>
      <c r="C120" t="str">
        <f>IFERROR(__xludf.DUMMYFUNCTION("""COMPUTED_VALUE"""),"Casa Vacanza")</f>
        <v>Casa Vacanza</v>
      </c>
      <c r="D120" t="str">
        <f>IFERROR(__xludf.DUMMYFUNCTION("""COMPUTED_VALUE"""),"CIVICO 19")</f>
        <v>CIVICO 19</v>
      </c>
      <c r="E120" t="str">
        <f>IFERROR(__xludf.DUMMYFUNCTION("""COMPUTED_VALUE"""),"ANNA DI PEDE")</f>
        <v>ANNA DI PEDE</v>
      </c>
      <c r="F120" t="str">
        <f>IFERROR(__xludf.DUMMYFUNCTION("""COMPUTED_VALUE"""),"VIA RICCIARDI  19")</f>
        <v>VIA RICCIARDI  19</v>
      </c>
      <c r="G120" t="str">
        <f>IFERROR(__xludf.DUMMYFUNCTION("""COMPUTED_VALUE"""),"Matera")</f>
        <v>Matera</v>
      </c>
      <c r="H120" t="str">
        <f>IFERROR(__xludf.DUMMYFUNCTION("""COMPUTED_VALUE"""),"Italy")</f>
        <v>Italy</v>
      </c>
      <c r="I120">
        <f>IFERROR(__xludf.DUMMYFUNCTION("""COMPUTED_VALUE"""),277.0)</f>
        <v>277</v>
      </c>
      <c r="J120">
        <f>IFERROR(__xludf.DUMMYFUNCTION("""COMPUTED_VALUE"""),5.0)</f>
        <v>5</v>
      </c>
      <c r="K120">
        <f>IFERROR(__xludf.DUMMYFUNCTION("""COMPUTED_VALUE"""),106.0)</f>
        <v>106</v>
      </c>
      <c r="L120" t="str">
        <f>IFERROR(__xludf.DUMMYFUNCTION("""COMPUTED_VALUE"""),"DPDNMR46T42F052B")</f>
        <v>DPDNMR46T42F052B</v>
      </c>
      <c r="M120">
        <f>IFERROR(__xludf.DUMMYFUNCTION("""COMPUTED_VALUE"""),4.0)</f>
        <v>4</v>
      </c>
      <c r="N120">
        <f>IFERROR(__xludf.DUMMYFUNCTION("""COMPUTED_VALUE"""),42902.0)</f>
        <v>42902</v>
      </c>
      <c r="O120" t="str">
        <f>IFERROR(__xludf.DUMMYFUNCTION("""COMPUTED_VALUE"""),"")</f>
        <v/>
      </c>
    </row>
    <row r="121">
      <c r="A121">
        <f>IFERROR(__xludf.DUMMYFUNCTION("""COMPUTED_VALUE"""),40.6676361)</f>
        <v>40.6676361</v>
      </c>
      <c r="B121">
        <f>IFERROR(__xludf.DUMMYFUNCTION("""COMPUTED_VALUE"""),16.6118504)</f>
        <v>16.6118504</v>
      </c>
      <c r="C121" t="str">
        <f>IFERROR(__xludf.DUMMYFUNCTION("""COMPUTED_VALUE"""),"Casa Vacanza")</f>
        <v>Casa Vacanza</v>
      </c>
      <c r="D121" t="str">
        <f>IFERROR(__xludf.DUMMYFUNCTION("""COMPUTED_VALUE"""),"CIVITA")</f>
        <v>CIVITA</v>
      </c>
      <c r="E121" t="str">
        <f>IFERROR(__xludf.DUMMYFUNCTION("""COMPUTED_VALUE"""),"FRANCESCO SACCO")</f>
        <v>FRANCESCO SACCO</v>
      </c>
      <c r="F121" t="str">
        <f>IFERROR(__xludf.DUMMYFUNCTION("""COMPUTED_VALUE"""),"VICO CIVITA 11")</f>
        <v>VICO CIVITA 11</v>
      </c>
      <c r="G121" t="str">
        <f>IFERROR(__xludf.DUMMYFUNCTION("""COMPUTED_VALUE"""),"Matera")</f>
        <v>Matera</v>
      </c>
      <c r="H121" t="str">
        <f>IFERROR(__xludf.DUMMYFUNCTION("""COMPUTED_VALUE"""),"Italy")</f>
        <v>Italy</v>
      </c>
      <c r="I121">
        <f>IFERROR(__xludf.DUMMYFUNCTION("""COMPUTED_VALUE"""),1169.0)</f>
        <v>1169</v>
      </c>
      <c r="J121">
        <f>IFERROR(__xludf.DUMMYFUNCTION("""COMPUTED_VALUE"""),3.0)</f>
        <v>3</v>
      </c>
      <c r="K121">
        <f>IFERROR(__xludf.DUMMYFUNCTION("""COMPUTED_VALUE"""),159.0)</f>
        <v>159</v>
      </c>
      <c r="L121" t="str">
        <f>IFERROR(__xludf.DUMMYFUNCTION("""COMPUTED_VALUE"""),"SCCFNC74M14C134F")</f>
        <v>SCCFNC74M14C134F</v>
      </c>
      <c r="M121" t="str">
        <f>IFERROR(__xludf.DUMMYFUNCTION("""COMPUTED_VALUE"""),"")</f>
        <v/>
      </c>
      <c r="N121" t="str">
        <f>IFERROR(__xludf.DUMMYFUNCTION("""COMPUTED_VALUE"""),"")</f>
        <v/>
      </c>
      <c r="O121" t="str">
        <f>IFERROR(__xludf.DUMMYFUNCTION("""COMPUTED_VALUE"""),"")</f>
        <v/>
      </c>
    </row>
    <row r="122">
      <c r="A122">
        <f>IFERROR(__xludf.DUMMYFUNCTION("""COMPUTED_VALUE"""),40.6674937)</f>
        <v>40.6674937</v>
      </c>
      <c r="B122">
        <f>IFERROR(__xludf.DUMMYFUNCTION("""COMPUTED_VALUE"""),16.6045006)</f>
        <v>16.6045006</v>
      </c>
      <c r="C122" t="str">
        <f>IFERROR(__xludf.DUMMYFUNCTION("""COMPUTED_VALUE"""),"Casa Vacanza")</f>
        <v>Casa Vacanza</v>
      </c>
      <c r="D122" t="str">
        <f>IFERROR(__xludf.DUMMYFUNCTION("""COMPUTED_VALUE"""),"CLAIR DE LUNA")</f>
        <v>CLAIR DE LUNA</v>
      </c>
      <c r="E122" t="str">
        <f>IFERROR(__xludf.DUMMYFUNCTION("""COMPUTED_VALUE"""),"SCIORTINO GIUSEPPINA")</f>
        <v>SCIORTINO GIUSEPPINA</v>
      </c>
      <c r="F122" t="str">
        <f>IFERROR(__xludf.DUMMYFUNCTION("""COMPUTED_VALUE"""),"VIA LUCANA 343")</f>
        <v>VIA LUCANA 343</v>
      </c>
      <c r="G122" t="str">
        <f>IFERROR(__xludf.DUMMYFUNCTION("""COMPUTED_VALUE"""),"Matera")</f>
        <v>Matera</v>
      </c>
      <c r="H122" t="str">
        <f>IFERROR(__xludf.DUMMYFUNCTION("""COMPUTED_VALUE"""),"Italy")</f>
        <v>Italy</v>
      </c>
      <c r="I122">
        <f>IFERROR(__xludf.DUMMYFUNCTION("""COMPUTED_VALUE"""),6.0)</f>
        <v>6</v>
      </c>
      <c r="J122">
        <f>IFERROR(__xludf.DUMMYFUNCTION("""COMPUTED_VALUE"""),17.0)</f>
        <v>17</v>
      </c>
      <c r="K122">
        <f>IFERROR(__xludf.DUMMYFUNCTION("""COMPUTED_VALUE"""),105.0)</f>
        <v>105</v>
      </c>
      <c r="L122" t="str">
        <f>IFERROR(__xludf.DUMMYFUNCTION("""COMPUTED_VALUE"""),"SCRGPP59P65F284N")</f>
        <v>SCRGPP59P65F284N</v>
      </c>
      <c r="M122">
        <f>IFERROR(__xludf.DUMMYFUNCTION("""COMPUTED_VALUE"""),5.0)</f>
        <v>5</v>
      </c>
      <c r="N122">
        <f>IFERROR(__xludf.DUMMYFUNCTION("""COMPUTED_VALUE"""),42620.0)</f>
        <v>42620</v>
      </c>
      <c r="O122" t="str">
        <f>IFERROR(__xludf.DUMMYFUNCTION("""COMPUTED_VALUE"""),"")</f>
        <v/>
      </c>
    </row>
    <row r="123">
      <c r="A123">
        <f>IFERROR(__xludf.DUMMYFUNCTION("""COMPUTED_VALUE"""),40.6602945)</f>
        <v>40.6602945</v>
      </c>
      <c r="B123">
        <f>IFERROR(__xludf.DUMMYFUNCTION("""COMPUTED_VALUE"""),16.602162)</f>
        <v>16.602162</v>
      </c>
      <c r="C123" t="str">
        <f>IFERROR(__xludf.DUMMYFUNCTION("""COMPUTED_VALUE"""),"Casa Vacanza")</f>
        <v>Casa Vacanza</v>
      </c>
      <c r="D123" t="str">
        <f>IFERROR(__xludf.DUMMYFUNCTION("""COMPUTED_VALUE"""),"CONTE TRAMONTANO")</f>
        <v>CONTE TRAMONTANO</v>
      </c>
      <c r="E123" t="str">
        <f>IFERROR(__xludf.DUMMYFUNCTION("""COMPUTED_VALUE"""),"D'ADAMO CARMELA")</f>
        <v>D'ADAMO CARMELA</v>
      </c>
      <c r="F123" t="str">
        <f>IFERROR(__xludf.DUMMYFUNCTION("""COMPUTED_VALUE"""),"VIALE DEL CICLAMINO 5")</f>
        <v>VIALE DEL CICLAMINO 5</v>
      </c>
      <c r="G123" t="str">
        <f>IFERROR(__xludf.DUMMYFUNCTION("""COMPUTED_VALUE"""),"Matera")</f>
        <v>Matera</v>
      </c>
      <c r="H123" t="str">
        <f>IFERROR(__xludf.DUMMYFUNCTION("""COMPUTED_VALUE"""),"Italy")</f>
        <v>Italy</v>
      </c>
      <c r="I123">
        <f>IFERROR(__xludf.DUMMYFUNCTION("""COMPUTED_VALUE"""),302.0)</f>
        <v>302</v>
      </c>
      <c r="J123">
        <f>IFERROR(__xludf.DUMMYFUNCTION("""COMPUTED_VALUE"""),25.0)</f>
        <v>25</v>
      </c>
      <c r="K123">
        <f>IFERROR(__xludf.DUMMYFUNCTION("""COMPUTED_VALUE"""),101.0)</f>
        <v>101</v>
      </c>
      <c r="L123" t="str">
        <f>IFERROR(__xludf.DUMMYFUNCTION("""COMPUTED_VALUE"""),"DDMCML48C56F052N")</f>
        <v>DDMCML48C56F052N</v>
      </c>
      <c r="M123">
        <f>IFERROR(__xludf.DUMMYFUNCTION("""COMPUTED_VALUE"""),3.0)</f>
        <v>3</v>
      </c>
      <c r="N123">
        <f>IFERROR(__xludf.DUMMYFUNCTION("""COMPUTED_VALUE"""),42304.0)</f>
        <v>42304</v>
      </c>
      <c r="O123" t="str">
        <f>IFERROR(__xludf.DUMMYFUNCTION("""COMPUTED_VALUE"""),"")</f>
        <v/>
      </c>
    </row>
    <row r="124">
      <c r="A124">
        <f>IFERROR(__xludf.DUMMYFUNCTION("""COMPUTED_VALUE"""),40.667503)</f>
        <v>40.667503</v>
      </c>
      <c r="B124">
        <f>IFERROR(__xludf.DUMMYFUNCTION("""COMPUTED_VALUE"""),16.6054393)</f>
        <v>16.6054393</v>
      </c>
      <c r="C124" t="str">
        <f>IFERROR(__xludf.DUMMYFUNCTION("""COMPUTED_VALUE"""),"Casa Vacanza")</f>
        <v>Casa Vacanza</v>
      </c>
      <c r="D124" t="str">
        <f>IFERROR(__xludf.DUMMYFUNCTION("""COMPUTED_VALUE"""),"COSMA")</f>
        <v>COSMA</v>
      </c>
      <c r="E124" t="str">
        <f>IFERROR(__xludf.DUMMYFUNCTION("""COMPUTED_VALUE"""),"BRAIA COSIMO DAMIANO")</f>
        <v>BRAIA COSIMO DAMIANO</v>
      </c>
      <c r="F124" t="str">
        <f>IFERROR(__xludf.DUMMYFUNCTION("""COMPUTED_VALUE"""),"VIA ROMA 10")</f>
        <v>VIA ROMA 10</v>
      </c>
      <c r="G124" t="str">
        <f>IFERROR(__xludf.DUMMYFUNCTION("""COMPUTED_VALUE"""),"Matera")</f>
        <v>Matera</v>
      </c>
      <c r="H124" t="str">
        <f>IFERROR(__xludf.DUMMYFUNCTION("""COMPUTED_VALUE"""),"Italy")</f>
        <v>Italy</v>
      </c>
      <c r="I124">
        <f>IFERROR(__xludf.DUMMYFUNCTION("""COMPUTED_VALUE"""),2710.0)</f>
        <v>2710</v>
      </c>
      <c r="J124">
        <f>IFERROR(__xludf.DUMMYFUNCTION("""COMPUTED_VALUE"""),10.0)</f>
        <v>10</v>
      </c>
      <c r="K124">
        <f>IFERROR(__xludf.DUMMYFUNCTION("""COMPUTED_VALUE"""),159.0)</f>
        <v>159</v>
      </c>
      <c r="L124" t="str">
        <f>IFERROR(__xludf.DUMMYFUNCTION("""COMPUTED_VALUE"""),"BRACMD39D11F052D")</f>
        <v>BRACMD39D11F052D</v>
      </c>
      <c r="M124">
        <f>IFERROR(__xludf.DUMMYFUNCTION("""COMPUTED_VALUE"""),2.0)</f>
        <v>2</v>
      </c>
      <c r="N124">
        <f>IFERROR(__xludf.DUMMYFUNCTION("""COMPUTED_VALUE"""),42552.0)</f>
        <v>42552</v>
      </c>
      <c r="O124">
        <f>IFERROR(__xludf.DUMMYFUNCTION("""COMPUTED_VALUE"""),933.0)</f>
        <v>933</v>
      </c>
    </row>
    <row r="125">
      <c r="A125">
        <f>IFERROR(__xludf.DUMMYFUNCTION("""COMPUTED_VALUE"""),40.66702640833)</f>
        <v>40.66702641</v>
      </c>
      <c r="B125">
        <f>IFERROR(__xludf.DUMMYFUNCTION("""COMPUTED_VALUE"""),16.5914692865766)</f>
        <v>16.59146929</v>
      </c>
      <c r="C125" t="str">
        <f>IFERROR(__xludf.DUMMYFUNCTION("""COMPUTED_VALUE"""),"Casa Vacanza")</f>
        <v>Casa Vacanza</v>
      </c>
      <c r="D125" t="str">
        <f>IFERROR(__xludf.DUMMYFUNCTION("""COMPUTED_VALUE"""),"DA EMMIMI")</f>
        <v>DA EMMIMI</v>
      </c>
      <c r="E125" t="str">
        <f>IFERROR(__xludf.DUMMYFUNCTION("""COMPUTED_VALUE"""),"ELISA CUCCUGLIELLI")</f>
        <v>ELISA CUCCUGLIELLI</v>
      </c>
      <c r="F125" t="str">
        <f>IFERROR(__xludf.DUMMYFUNCTION("""COMPUTED_VALUE"""),"VIALE GIANTURCO 2")</f>
        <v>VIALE GIANTURCO 2</v>
      </c>
      <c r="G125" t="str">
        <f>IFERROR(__xludf.DUMMYFUNCTION("""COMPUTED_VALUE"""),"Matera")</f>
        <v>Matera</v>
      </c>
      <c r="H125" t="str">
        <f>IFERROR(__xludf.DUMMYFUNCTION("""COMPUTED_VALUE"""),"Italy")</f>
        <v>Italy</v>
      </c>
      <c r="I125">
        <f>IFERROR(__xludf.DUMMYFUNCTION("""COMPUTED_VALUE"""),358.0)</f>
        <v>358</v>
      </c>
      <c r="J125">
        <f>IFERROR(__xludf.DUMMYFUNCTION("""COMPUTED_VALUE"""),4.0)</f>
        <v>4</v>
      </c>
      <c r="K125">
        <f>IFERROR(__xludf.DUMMYFUNCTION("""COMPUTED_VALUE"""),69.0)</f>
        <v>69</v>
      </c>
      <c r="L125" t="str">
        <f>IFERROR(__xludf.DUMMYFUNCTION("""COMPUTED_VALUE"""),"CCGLSEF69D68E155X")</f>
        <v>CCGLSEF69D68E155X</v>
      </c>
      <c r="M125">
        <f>IFERROR(__xludf.DUMMYFUNCTION("""COMPUTED_VALUE"""),4.0)</f>
        <v>4</v>
      </c>
      <c r="N125">
        <f>IFERROR(__xludf.DUMMYFUNCTION("""COMPUTED_VALUE"""),42925.0)</f>
        <v>42925</v>
      </c>
      <c r="O125">
        <f>IFERROR(__xludf.DUMMYFUNCTION("""COMPUTED_VALUE"""),1841.0)</f>
        <v>1841</v>
      </c>
    </row>
    <row r="126">
      <c r="A126">
        <f>IFERROR(__xludf.DUMMYFUNCTION("""COMPUTED_VALUE"""),40.666275)</f>
        <v>40.666275</v>
      </c>
      <c r="B126">
        <f>IFERROR(__xludf.DUMMYFUNCTION("""COMPUTED_VALUE"""),16.607058)</f>
        <v>16.607058</v>
      </c>
      <c r="C126" t="str">
        <f>IFERROR(__xludf.DUMMYFUNCTION("""COMPUTED_VALUE"""),"Casa Vacanza")</f>
        <v>Casa Vacanza</v>
      </c>
      <c r="D126" t="str">
        <f>IFERROR(__xludf.DUMMYFUNCTION("""COMPUTED_VALUE"""),"DA ZIA LALLA")</f>
        <v>DA ZIA LALLA</v>
      </c>
      <c r="E126" t="str">
        <f>IFERROR(__xludf.DUMMYFUNCTION("""COMPUTED_VALUE"""),"CARLUCCI GIUSEPPE")</f>
        <v>CARLUCCI GIUSEPPE</v>
      </c>
      <c r="F126" t="str">
        <f>IFERROR(__xludf.DUMMYFUNCTION("""COMPUTED_VALUE"""),"VICO SAN GIUSEPPE 13")</f>
        <v>VICO SAN GIUSEPPE 13</v>
      </c>
      <c r="G126" t="str">
        <f>IFERROR(__xludf.DUMMYFUNCTION("""COMPUTED_VALUE"""),"Matera")</f>
        <v>Matera</v>
      </c>
      <c r="H126" t="str">
        <f>IFERROR(__xludf.DUMMYFUNCTION("""COMPUTED_VALUE"""),"Italy")</f>
        <v>Italy</v>
      </c>
      <c r="I126">
        <f>IFERROR(__xludf.DUMMYFUNCTION("""COMPUTED_VALUE"""),664.0)</f>
        <v>664</v>
      </c>
      <c r="J126">
        <f>IFERROR(__xludf.DUMMYFUNCTION("""COMPUTED_VALUE"""),7.0)</f>
        <v>7</v>
      </c>
      <c r="K126">
        <f>IFERROR(__xludf.DUMMYFUNCTION("""COMPUTED_VALUE"""),159.0)</f>
        <v>159</v>
      </c>
      <c r="L126" t="str">
        <f>IFERROR(__xludf.DUMMYFUNCTION("""COMPUTED_VALUE"""),"CRLGPP80H19F052U")</f>
        <v>CRLGPP80H19F052U</v>
      </c>
      <c r="M126">
        <f>IFERROR(__xludf.DUMMYFUNCTION("""COMPUTED_VALUE"""),4.0)</f>
        <v>4</v>
      </c>
      <c r="N126">
        <f>IFERROR(__xludf.DUMMYFUNCTION("""COMPUTED_VALUE"""),41914.0)</f>
        <v>41914</v>
      </c>
      <c r="O126" t="str">
        <f>IFERROR(__xludf.DUMMYFUNCTION("""COMPUTED_VALUE"""),"")</f>
        <v/>
      </c>
    </row>
    <row r="127">
      <c r="A127">
        <f>IFERROR(__xludf.DUMMYFUNCTION("""COMPUTED_VALUE"""),40.6696585288394)</f>
        <v>40.66965853</v>
      </c>
      <c r="B127">
        <f>IFERROR(__xludf.DUMMYFUNCTION("""COMPUTED_VALUE"""),16.6083357811927)</f>
        <v>16.60833578</v>
      </c>
      <c r="C127" t="str">
        <f>IFERROR(__xludf.DUMMYFUNCTION("""COMPUTED_VALUE"""),"Casa Vacanza")</f>
        <v>Casa Vacanza</v>
      </c>
      <c r="D127" t="str">
        <f>IFERROR(__xludf.DUMMYFUNCTION("""COMPUTED_VALUE"""),"DADDY'S HOUSE")</f>
        <v>DADDY'S HOUSE</v>
      </c>
      <c r="E127" t="str">
        <f>IFERROR(__xludf.DUMMYFUNCTION("""COMPUTED_VALUE"""),"TERESA SALADINI")</f>
        <v>TERESA SALADINI</v>
      </c>
      <c r="F127" t="str">
        <f>IFERROR(__xludf.DUMMYFUNCTION("""COMPUTED_VALUE"""),"REC. PIAVE 2")</f>
        <v>REC. PIAVE 2</v>
      </c>
      <c r="G127" t="str">
        <f>IFERROR(__xludf.DUMMYFUNCTION("""COMPUTED_VALUE"""),"Matera")</f>
        <v>Matera</v>
      </c>
      <c r="H127" t="str">
        <f>IFERROR(__xludf.DUMMYFUNCTION("""COMPUTED_VALUE"""),"Italy")</f>
        <v>Italy</v>
      </c>
      <c r="I127">
        <f>IFERROR(__xludf.DUMMYFUNCTION("""COMPUTED_VALUE"""),3566.0)</f>
        <v>3566</v>
      </c>
      <c r="J127">
        <f>IFERROR(__xludf.DUMMYFUNCTION("""COMPUTED_VALUE"""),10.0)</f>
        <v>10</v>
      </c>
      <c r="K127">
        <f>IFERROR(__xludf.DUMMYFUNCTION("""COMPUTED_VALUE"""),159.0)</f>
        <v>159</v>
      </c>
      <c r="L127" t="str">
        <f>IFERROR(__xludf.DUMMYFUNCTION("""COMPUTED_VALUE"""),"SLDTRS8847F052J")</f>
        <v>SLDTRS8847F052J</v>
      </c>
      <c r="M127">
        <f>IFERROR(__xludf.DUMMYFUNCTION("""COMPUTED_VALUE"""),5.0)</f>
        <v>5</v>
      </c>
      <c r="N127">
        <f>IFERROR(__xludf.DUMMYFUNCTION("""COMPUTED_VALUE"""),43058.0)</f>
        <v>43058</v>
      </c>
      <c r="O127" t="str">
        <f>IFERROR(__xludf.DUMMYFUNCTION("""COMPUTED_VALUE"""),"")</f>
        <v/>
      </c>
    </row>
    <row r="128">
      <c r="A128">
        <f>IFERROR(__xludf.DUMMYFUNCTION("""COMPUTED_VALUE"""),40.6708307761625)</f>
        <v>40.67083078</v>
      </c>
      <c r="B128">
        <f>IFERROR(__xludf.DUMMYFUNCTION("""COMPUTED_VALUE"""),16.5818986474286)</f>
        <v>16.58189865</v>
      </c>
      <c r="C128" t="str">
        <f>IFERROR(__xludf.DUMMYFUNCTION("""COMPUTED_VALUE"""),"Casa Vacanza")</f>
        <v>Casa Vacanza</v>
      </c>
      <c r="D128" t="str">
        <f>IFERROR(__xludf.DUMMYFUNCTION("""COMPUTED_VALUE"""),"DEA")</f>
        <v>DEA</v>
      </c>
      <c r="E128" t="str">
        <f>IFERROR(__xludf.DUMMYFUNCTION("""COMPUTED_VALUE"""),"ANTONIO POTI'")</f>
        <v>ANTONIO POTI'</v>
      </c>
      <c r="F128" t="str">
        <f>IFERROR(__xludf.DUMMYFUNCTION("""COMPUTED_VALUE"""),"VICO 1° LA MARTELLA 29")</f>
        <v>VICO 1° LA MARTELLA 29</v>
      </c>
      <c r="G128" t="str">
        <f>IFERROR(__xludf.DUMMYFUNCTION("""COMPUTED_VALUE"""),"Matera")</f>
        <v>Matera</v>
      </c>
      <c r="H128" t="str">
        <f>IFERROR(__xludf.DUMMYFUNCTION("""COMPUTED_VALUE"""),"Italy")</f>
        <v>Italy</v>
      </c>
      <c r="I128">
        <f>IFERROR(__xludf.DUMMYFUNCTION("""COMPUTED_VALUE"""),3333.0)</f>
        <v>3333</v>
      </c>
      <c r="J128">
        <f>IFERROR(__xludf.DUMMYFUNCTION("""COMPUTED_VALUE"""),57.0)</f>
        <v>57</v>
      </c>
      <c r="K128">
        <f>IFERROR(__xludf.DUMMYFUNCTION("""COMPUTED_VALUE"""),67.0)</f>
        <v>67</v>
      </c>
      <c r="L128" t="str">
        <f>IFERROR(__xludf.DUMMYFUNCTION("""COMPUTED_VALUE"""),"PTONTN53A22E506Z")</f>
        <v>PTONTN53A22E506Z</v>
      </c>
      <c r="M128">
        <f>IFERROR(__xludf.DUMMYFUNCTION("""COMPUTED_VALUE"""),2.0)</f>
        <v>2</v>
      </c>
      <c r="N128">
        <f>IFERROR(__xludf.DUMMYFUNCTION("""COMPUTED_VALUE"""),42498.0)</f>
        <v>42498</v>
      </c>
      <c r="O128" t="str">
        <f>IFERROR(__xludf.DUMMYFUNCTION("""COMPUTED_VALUE"""),"")</f>
        <v/>
      </c>
    </row>
    <row r="129">
      <c r="A129">
        <f>IFERROR(__xludf.DUMMYFUNCTION("""COMPUTED_VALUE"""),40.6659817)</f>
        <v>40.6659817</v>
      </c>
      <c r="B129">
        <f>IFERROR(__xludf.DUMMYFUNCTION("""COMPUTED_VALUE"""),16.6051723)</f>
        <v>16.6051723</v>
      </c>
      <c r="C129" t="str">
        <f>IFERROR(__xludf.DUMMYFUNCTION("""COMPUTED_VALUE"""),"Casa Vacanza")</f>
        <v>Casa Vacanza</v>
      </c>
      <c r="D129" t="str">
        <f>IFERROR(__xludf.DUMMYFUNCTION("""COMPUTED_VALUE"""),"DI ANNA MATERA IN CENTRO")</f>
        <v>DI ANNA MATERA IN CENTRO</v>
      </c>
      <c r="E129" t="str">
        <f>IFERROR(__xludf.DUMMYFUNCTION("""COMPUTED_VALUE"""),"RENATO MELE")</f>
        <v>RENATO MELE</v>
      </c>
      <c r="F129" t="str">
        <f>IFERROR(__xludf.DUMMYFUNCTION("""COMPUTED_VALUE"""),"VIA LUCANA 73")</f>
        <v>VIA LUCANA 73</v>
      </c>
      <c r="G129" t="str">
        <f>IFERROR(__xludf.DUMMYFUNCTION("""COMPUTED_VALUE"""),"Matera")</f>
        <v>Matera</v>
      </c>
      <c r="H129" t="str">
        <f>IFERROR(__xludf.DUMMYFUNCTION("""COMPUTED_VALUE"""),"Italy")</f>
        <v>Italy</v>
      </c>
      <c r="I129">
        <f>IFERROR(__xludf.DUMMYFUNCTION("""COMPUTED_VALUE"""),4078.0)</f>
        <v>4078</v>
      </c>
      <c r="J129">
        <f>IFERROR(__xludf.DUMMYFUNCTION("""COMPUTED_VALUE"""),12.0)</f>
        <v>12</v>
      </c>
      <c r="K129">
        <f>IFERROR(__xludf.DUMMYFUNCTION("""COMPUTED_VALUE"""),159.0)</f>
        <v>159</v>
      </c>
      <c r="L129" t="str">
        <f>IFERROR(__xludf.DUMMYFUNCTION("""COMPUTED_VALUE"""),"MLERNT52D09F052X")</f>
        <v>MLERNT52D09F052X</v>
      </c>
      <c r="M129">
        <f>IFERROR(__xludf.DUMMYFUNCTION("""COMPUTED_VALUE"""),10.0)</f>
        <v>10</v>
      </c>
      <c r="N129">
        <f>IFERROR(__xludf.DUMMYFUNCTION("""COMPUTED_VALUE"""),42453.0)</f>
        <v>42453</v>
      </c>
      <c r="O129" t="str">
        <f>IFERROR(__xludf.DUMMYFUNCTION("""COMPUTED_VALUE"""),"")</f>
        <v/>
      </c>
    </row>
    <row r="130">
      <c r="A130">
        <f>IFERROR(__xludf.DUMMYFUNCTION("""COMPUTED_VALUE"""),40.6640326958893)</f>
        <v>40.6640327</v>
      </c>
      <c r="B130">
        <f>IFERROR(__xludf.DUMMYFUNCTION("""COMPUTED_VALUE"""),16.6003635559297)</f>
        <v>16.60036356</v>
      </c>
      <c r="C130" t="str">
        <f>IFERROR(__xludf.DUMMYFUNCTION("""COMPUTED_VALUE"""),"Casa Vacanza")</f>
        <v>Casa Vacanza</v>
      </c>
      <c r="D130" t="str">
        <f>IFERROR(__xludf.DUMMYFUNCTION("""COMPUTED_VALUE"""),"DIETRO L'ANGOLO")</f>
        <v>DIETRO L'ANGOLO</v>
      </c>
      <c r="E130" t="str">
        <f>IFERROR(__xludf.DUMMYFUNCTION("""COMPUTED_VALUE"""),"GIORDANO MARIA ROSARIA")</f>
        <v>GIORDANO MARIA ROSARIA</v>
      </c>
      <c r="F130" t="str">
        <f>IFERROR(__xludf.DUMMYFUNCTION("""COMPUTED_VALUE"""),"VICO II CAPPELLUTI 5")</f>
        <v>VICO II CAPPELLUTI 5</v>
      </c>
      <c r="G130" t="str">
        <f>IFERROR(__xludf.DUMMYFUNCTION("""COMPUTED_VALUE"""),"Matera")</f>
        <v>Matera</v>
      </c>
      <c r="H130" t="str">
        <f>IFERROR(__xludf.DUMMYFUNCTION("""COMPUTED_VALUE"""),"Italy")</f>
        <v>Italy</v>
      </c>
      <c r="I130">
        <f>IFERROR(__xludf.DUMMYFUNCTION("""COMPUTED_VALUE"""),446.0)</f>
        <v>446</v>
      </c>
      <c r="J130">
        <f>IFERROR(__xludf.DUMMYFUNCTION("""COMPUTED_VALUE"""),17.0)</f>
        <v>17</v>
      </c>
      <c r="K130">
        <f>IFERROR(__xludf.DUMMYFUNCTION("""COMPUTED_VALUE"""),71.0)</f>
        <v>71</v>
      </c>
      <c r="L130" t="str">
        <f>IFERROR(__xludf.DUMMYFUNCTION("""COMPUTED_VALUE"""),"GRDMRS66C61F052V")</f>
        <v>GRDMRS66C61F052V</v>
      </c>
      <c r="M130">
        <f>IFERROR(__xludf.DUMMYFUNCTION("""COMPUTED_VALUE"""),4.0)</f>
        <v>4</v>
      </c>
      <c r="N130">
        <f>IFERROR(__xludf.DUMMYFUNCTION("""COMPUTED_VALUE"""),42565.0)</f>
        <v>42565</v>
      </c>
      <c r="O130">
        <f>IFERROR(__xludf.DUMMYFUNCTION("""COMPUTED_VALUE"""),1904.0)</f>
        <v>1904</v>
      </c>
    </row>
    <row r="131">
      <c r="A131">
        <f>IFERROR(__xludf.DUMMYFUNCTION("""COMPUTED_VALUE"""),40.6591175)</f>
        <v>40.6591175</v>
      </c>
      <c r="B131">
        <f>IFERROR(__xludf.DUMMYFUNCTION("""COMPUTED_VALUE"""),16.6147381)</f>
        <v>16.6147381</v>
      </c>
      <c r="C131" t="str">
        <f>IFERROR(__xludf.DUMMYFUNCTION("""COMPUTED_VALUE"""),"Casa Vacanza")</f>
        <v>Casa Vacanza</v>
      </c>
      <c r="D131" t="str">
        <f>IFERROR(__xludf.DUMMYFUNCTION("""COMPUTED_VALUE"""),"DIMORA AL MULINO")</f>
        <v>DIMORA AL MULINO</v>
      </c>
      <c r="E131" t="str">
        <f>IFERROR(__xludf.DUMMYFUNCTION("""COMPUTED_VALUE"""),"GERARDO FORNATARO")</f>
        <v>GERARDO FORNATARO</v>
      </c>
      <c r="F131" t="str">
        <f>IFERROR(__xludf.DUMMYFUNCTION("""COMPUTED_VALUE"""),"VIA LUCANA  295 BIS")</f>
        <v>VIA LUCANA  295 BIS</v>
      </c>
      <c r="G131" t="str">
        <f>IFERROR(__xludf.DUMMYFUNCTION("""COMPUTED_VALUE"""),"Matera")</f>
        <v>Matera</v>
      </c>
      <c r="H131" t="str">
        <f>IFERROR(__xludf.DUMMYFUNCTION("""COMPUTED_VALUE"""),"Italy")</f>
        <v>Italy</v>
      </c>
      <c r="I131">
        <f>IFERROR(__xludf.DUMMYFUNCTION("""COMPUTED_VALUE"""),4004.0)</f>
        <v>4004</v>
      </c>
      <c r="J131">
        <f>IFERROR(__xludf.DUMMYFUNCTION("""COMPUTED_VALUE"""),21.0)</f>
        <v>21</v>
      </c>
      <c r="K131">
        <f>IFERROR(__xludf.DUMMYFUNCTION("""COMPUTED_VALUE"""),159.0)</f>
        <v>159</v>
      </c>
      <c r="L131" t="str">
        <f>IFERROR(__xludf.DUMMYFUNCTION("""COMPUTED_VALUE"""),"FRNGRD78B26F052V")</f>
        <v>FRNGRD78B26F052V</v>
      </c>
      <c r="M131">
        <f>IFERROR(__xludf.DUMMYFUNCTION("""COMPUTED_VALUE"""),6.0)</f>
        <v>6</v>
      </c>
      <c r="N131">
        <f>IFERROR(__xludf.DUMMYFUNCTION("""COMPUTED_VALUE"""),42529.0)</f>
        <v>42529</v>
      </c>
      <c r="O131" t="str">
        <f>IFERROR(__xludf.DUMMYFUNCTION("""COMPUTED_VALUE"""),"")</f>
        <v/>
      </c>
    </row>
    <row r="132">
      <c r="A132">
        <f>IFERROR(__xludf.DUMMYFUNCTION("""COMPUTED_VALUE"""),40.6694488)</f>
        <v>40.6694488</v>
      </c>
      <c r="B132">
        <f>IFERROR(__xludf.DUMMYFUNCTION("""COMPUTED_VALUE"""),16.5844563)</f>
        <v>16.5844563</v>
      </c>
      <c r="C132" t="str">
        <f>IFERROR(__xludf.DUMMYFUNCTION("""COMPUTED_VALUE"""),"Casa Vacanza")</f>
        <v>Casa Vacanza</v>
      </c>
      <c r="D132" t="str">
        <f>IFERROR(__xludf.DUMMYFUNCTION("""COMPUTED_VALUE"""),"DIMORA DEGL ARAGONESI")</f>
        <v>DIMORA DEGL ARAGONESI</v>
      </c>
      <c r="E132" t="str">
        <f>IFERROR(__xludf.DUMMYFUNCTION("""COMPUTED_VALUE"""),"GAUDIANO NUNZIA")</f>
        <v>GAUDIANO NUNZIA</v>
      </c>
      <c r="F132" t="str">
        <f>IFERROR(__xludf.DUMMYFUNCTION("""COMPUTED_VALUE"""),"VIA DEGLI ARAGONESI 59")</f>
        <v>VIA DEGLI ARAGONESI 59</v>
      </c>
      <c r="G132" t="str">
        <f>IFERROR(__xludf.DUMMYFUNCTION("""COMPUTED_VALUE"""),"Matera")</f>
        <v>Matera</v>
      </c>
      <c r="H132" t="str">
        <f>IFERROR(__xludf.DUMMYFUNCTION("""COMPUTED_VALUE"""),"Italy")</f>
        <v>Italy</v>
      </c>
      <c r="I132">
        <f>IFERROR(__xludf.DUMMYFUNCTION("""COMPUTED_VALUE"""),1603.0)</f>
        <v>1603</v>
      </c>
      <c r="J132">
        <f>IFERROR(__xludf.DUMMYFUNCTION("""COMPUTED_VALUE"""),2.0)</f>
        <v>2</v>
      </c>
      <c r="K132">
        <f>IFERROR(__xludf.DUMMYFUNCTION("""COMPUTED_VALUE"""),69.0)</f>
        <v>69</v>
      </c>
      <c r="L132" t="str">
        <f>IFERROR(__xludf.DUMMYFUNCTION("""COMPUTED_VALUE"""),"GDNNNZ72P67F052B")</f>
        <v>GDNNNZ72P67F052B</v>
      </c>
      <c r="M132">
        <f>IFERROR(__xludf.DUMMYFUNCTION("""COMPUTED_VALUE"""),4.0)</f>
        <v>4</v>
      </c>
      <c r="N132">
        <f>IFERROR(__xludf.DUMMYFUNCTION("""COMPUTED_VALUE"""),42509.0)</f>
        <v>42509</v>
      </c>
      <c r="O132">
        <f>IFERROR(__xludf.DUMMYFUNCTION("""COMPUTED_VALUE"""),1713.0)</f>
        <v>1713</v>
      </c>
    </row>
    <row r="133">
      <c r="A133">
        <f>IFERROR(__xludf.DUMMYFUNCTION("""COMPUTED_VALUE"""),40.6649542348746)</f>
        <v>40.66495423</v>
      </c>
      <c r="B133">
        <f>IFERROR(__xludf.DUMMYFUNCTION("""COMPUTED_VALUE"""),16.5906365986429)</f>
        <v>16.5906366</v>
      </c>
      <c r="C133" t="str">
        <f>IFERROR(__xludf.DUMMYFUNCTION("""COMPUTED_VALUE"""),"Casa Vacanza")</f>
        <v>Casa Vacanza</v>
      </c>
      <c r="D133" t="str">
        <f>IFERROR(__xludf.DUMMYFUNCTION("""COMPUTED_VALUE"""),"DIMORA DEGLI OLEANDRI")</f>
        <v>DIMORA DEGLI OLEANDRI</v>
      </c>
      <c r="E133" t="str">
        <f>IFERROR(__xludf.DUMMYFUNCTION("""COMPUTED_VALUE"""),"SCHIUMA MARIA E.")</f>
        <v>SCHIUMA MARIA E.</v>
      </c>
      <c r="F133" t="str">
        <f>IFERROR(__xludf.DUMMYFUNCTION("""COMPUTED_VALUE"""),"VIA P. SERAFINO DA SALANDRA 5")</f>
        <v>VIA P. SERAFINO DA SALANDRA 5</v>
      </c>
      <c r="G133" t="str">
        <f>IFERROR(__xludf.DUMMYFUNCTION("""COMPUTED_VALUE"""),"Matera")</f>
        <v>Matera</v>
      </c>
      <c r="H133" t="str">
        <f>IFERROR(__xludf.DUMMYFUNCTION("""COMPUTED_VALUE"""),"Italy")</f>
        <v>Italy</v>
      </c>
      <c r="I133">
        <f>IFERROR(__xludf.DUMMYFUNCTION("""COMPUTED_VALUE"""),390.0)</f>
        <v>390</v>
      </c>
      <c r="J133">
        <f>IFERROR(__xludf.DUMMYFUNCTION("""COMPUTED_VALUE"""),20.0)</f>
        <v>20</v>
      </c>
      <c r="K133">
        <f>IFERROR(__xludf.DUMMYFUNCTION("""COMPUTED_VALUE"""),69.0)</f>
        <v>69</v>
      </c>
      <c r="L133" t="str">
        <f>IFERROR(__xludf.DUMMYFUNCTION("""COMPUTED_VALUE"""),"SCHMRA61L49F052I")</f>
        <v>SCHMRA61L49F052I</v>
      </c>
      <c r="M133" t="str">
        <f>IFERROR(__xludf.DUMMYFUNCTION("""COMPUTED_VALUE"""),"")</f>
        <v/>
      </c>
      <c r="N133" t="str">
        <f>IFERROR(__xludf.DUMMYFUNCTION("""COMPUTED_VALUE"""),"")</f>
        <v/>
      </c>
      <c r="O133" t="str">
        <f>IFERROR(__xludf.DUMMYFUNCTION("""COMPUTED_VALUE"""),"")</f>
        <v/>
      </c>
    </row>
    <row r="134">
      <c r="A134">
        <f>IFERROR(__xludf.DUMMYFUNCTION("""COMPUTED_VALUE"""),40.6652458924544)</f>
        <v>40.66524589</v>
      </c>
      <c r="B134">
        <f>IFERROR(__xludf.DUMMYFUNCTION("""COMPUTED_VALUE"""),16.610077262835)</f>
        <v>16.61007726</v>
      </c>
      <c r="C134" t="str">
        <f>IFERROR(__xludf.DUMMYFUNCTION("""COMPUTED_VALUE"""),"Casa Vacanza")</f>
        <v>Casa Vacanza</v>
      </c>
      <c r="D134" t="str">
        <f>IFERROR(__xludf.DUMMYFUNCTION("""COMPUTED_VALUE"""),"DIMORA DEL SEDILE")</f>
        <v>DIMORA DEL SEDILE</v>
      </c>
      <c r="E134" t="str">
        <f>IFERROR(__xludf.DUMMYFUNCTION("""COMPUTED_VALUE"""),"PORFIDO NUNZIATA")</f>
        <v>PORFIDO NUNZIATA</v>
      </c>
      <c r="F134" t="str">
        <f>IFERROR(__xludf.DUMMYFUNCTION("""COMPUTED_VALUE"""),"PIAZZA SEDILE  35")</f>
        <v>PIAZZA SEDILE  35</v>
      </c>
      <c r="G134" t="str">
        <f>IFERROR(__xludf.DUMMYFUNCTION("""COMPUTED_VALUE"""),"Matera")</f>
        <v>Matera</v>
      </c>
      <c r="H134" t="str">
        <f>IFERROR(__xludf.DUMMYFUNCTION("""COMPUTED_VALUE"""),"Italy")</f>
        <v>Italy</v>
      </c>
      <c r="I134">
        <f>IFERROR(__xludf.DUMMYFUNCTION("""COMPUTED_VALUE"""),1553.0)</f>
        <v>1553</v>
      </c>
      <c r="J134">
        <f>IFERROR(__xludf.DUMMYFUNCTION("""COMPUTED_VALUE"""),5.0)</f>
        <v>5</v>
      </c>
      <c r="K134">
        <f>IFERROR(__xludf.DUMMYFUNCTION("""COMPUTED_VALUE"""),159.0)</f>
        <v>159</v>
      </c>
      <c r="L134" t="str">
        <f>IFERROR(__xludf.DUMMYFUNCTION("""COMPUTED_VALUE"""),"PRFNZT36S57F052V")</f>
        <v>PRFNZT36S57F052V</v>
      </c>
      <c r="M134">
        <f>IFERROR(__xludf.DUMMYFUNCTION("""COMPUTED_VALUE"""),4.0)</f>
        <v>4</v>
      </c>
      <c r="N134">
        <f>IFERROR(__xludf.DUMMYFUNCTION("""COMPUTED_VALUE"""),42947.0)</f>
        <v>42947</v>
      </c>
      <c r="O134" t="str">
        <f>IFERROR(__xludf.DUMMYFUNCTION("""COMPUTED_VALUE"""),"")</f>
        <v/>
      </c>
    </row>
    <row r="135">
      <c r="A135">
        <f>IFERROR(__xludf.DUMMYFUNCTION("""COMPUTED_VALUE"""),40.6518392554487)</f>
        <v>40.65183926</v>
      </c>
      <c r="B135">
        <f>IFERROR(__xludf.DUMMYFUNCTION("""COMPUTED_VALUE"""),16.6178548007249)</f>
        <v>16.6178548</v>
      </c>
      <c r="C135" t="str">
        <f>IFERROR(__xludf.DUMMYFUNCTION("""COMPUTED_VALUE"""),"Casa Vacanza")</f>
        <v>Casa Vacanza</v>
      </c>
      <c r="D135" t="str">
        <f>IFERROR(__xludf.DUMMYFUNCTION("""COMPUTED_VALUE"""),"DIMORA DI ENZO")</f>
        <v>DIMORA DI ENZO</v>
      </c>
      <c r="E135" t="str">
        <f>IFERROR(__xludf.DUMMYFUNCTION("""COMPUTED_VALUE"""),"SURIANO GIANPAOLO")</f>
        <v>SURIANO GIANPAOLO</v>
      </c>
      <c r="F135" t="str">
        <f>IFERROR(__xludf.DUMMYFUNCTION("""COMPUTED_VALUE"""),"VIA PARADISO 26")</f>
        <v>VIA PARADISO 26</v>
      </c>
      <c r="G135" t="str">
        <f>IFERROR(__xludf.DUMMYFUNCTION("""COMPUTED_VALUE"""),"Matera")</f>
        <v>Matera</v>
      </c>
      <c r="H135" t="str">
        <f>IFERROR(__xludf.DUMMYFUNCTION("""COMPUTED_VALUE"""),"Italy")</f>
        <v>Italy</v>
      </c>
      <c r="I135">
        <f>IFERROR(__xludf.DUMMYFUNCTION("""COMPUTED_VALUE"""),15.0)</f>
        <v>15</v>
      </c>
      <c r="J135">
        <f>IFERROR(__xludf.DUMMYFUNCTION("""COMPUTED_VALUE"""),35.0)</f>
        <v>35</v>
      </c>
      <c r="K135">
        <f>IFERROR(__xludf.DUMMYFUNCTION("""COMPUTED_VALUE"""),105.0)</f>
        <v>105</v>
      </c>
      <c r="L135" t="str">
        <f>IFERROR(__xludf.DUMMYFUNCTION("""COMPUTED_VALUE"""),"SRNGPL78E20F052S")</f>
        <v>SRNGPL78E20F052S</v>
      </c>
      <c r="M135">
        <f>IFERROR(__xludf.DUMMYFUNCTION("""COMPUTED_VALUE"""),2.0)</f>
        <v>2</v>
      </c>
      <c r="N135">
        <f>IFERROR(__xludf.DUMMYFUNCTION("""COMPUTED_VALUE"""),43306.0)</f>
        <v>43306</v>
      </c>
      <c r="O135" t="str">
        <f>IFERROR(__xludf.DUMMYFUNCTION("""COMPUTED_VALUE"""),"")</f>
        <v/>
      </c>
    </row>
    <row r="136">
      <c r="A136">
        <f>IFERROR(__xludf.DUMMYFUNCTION("""COMPUTED_VALUE"""),40.6658083)</f>
        <v>40.6658083</v>
      </c>
      <c r="B136">
        <f>IFERROR(__xludf.DUMMYFUNCTION("""COMPUTED_VALUE"""),16.6029124)</f>
        <v>16.6029124</v>
      </c>
      <c r="C136" t="str">
        <f>IFERROR(__xludf.DUMMYFUNCTION("""COMPUTED_VALUE"""),"Casa Vacanza")</f>
        <v>Casa Vacanza</v>
      </c>
      <c r="D136" t="str">
        <f>IFERROR(__xludf.DUMMYFUNCTION("""COMPUTED_VALUE"""),"DIMORA MARGHERITA")</f>
        <v>DIMORA MARGHERITA</v>
      </c>
      <c r="E136" t="str">
        <f>IFERROR(__xludf.DUMMYFUNCTION("""COMPUTED_VALUE"""),"MILILLO ANTONELLA")</f>
        <v>MILILLO ANTONELLA</v>
      </c>
      <c r="F136" t="str">
        <f>IFERROR(__xludf.DUMMYFUNCTION("""COMPUTED_VALUE"""),"VIA CAPPELLUTI  4")</f>
        <v>VIA CAPPELLUTI  4</v>
      </c>
      <c r="G136" t="str">
        <f>IFERROR(__xludf.DUMMYFUNCTION("""COMPUTED_VALUE"""),"Matera")</f>
        <v>Matera</v>
      </c>
      <c r="H136" t="str">
        <f>IFERROR(__xludf.DUMMYFUNCTION("""COMPUTED_VALUE"""),"Italy")</f>
        <v>Italy</v>
      </c>
      <c r="I136">
        <f>IFERROR(__xludf.DUMMYFUNCTION("""COMPUTED_VALUE"""),516.0)</f>
        <v>516</v>
      </c>
      <c r="J136">
        <f>IFERROR(__xludf.DUMMYFUNCTION("""COMPUTED_VALUE"""),9.0)</f>
        <v>9</v>
      </c>
      <c r="K136">
        <f>IFERROR(__xludf.DUMMYFUNCTION("""COMPUTED_VALUE"""),71.0)</f>
        <v>71</v>
      </c>
      <c r="L136" t="str">
        <f>IFERROR(__xludf.DUMMYFUNCTION("""COMPUTED_VALUE"""),"MLLNNL84R45F052L")</f>
        <v>MLLNNL84R45F052L</v>
      </c>
      <c r="M136">
        <f>IFERROR(__xludf.DUMMYFUNCTION("""COMPUTED_VALUE"""),6.0)</f>
        <v>6</v>
      </c>
      <c r="N136">
        <f>IFERROR(__xludf.DUMMYFUNCTION("""COMPUTED_VALUE"""),42446.0)</f>
        <v>42446</v>
      </c>
      <c r="O136" t="str">
        <f>IFERROR(__xludf.DUMMYFUNCTION("""COMPUTED_VALUE"""),"")</f>
        <v/>
      </c>
    </row>
    <row r="137">
      <c r="A137">
        <f>IFERROR(__xludf.DUMMYFUNCTION("""COMPUTED_VALUE"""),40.6642600920116)</f>
        <v>40.66426009</v>
      </c>
      <c r="B137">
        <f>IFERROR(__xludf.DUMMYFUNCTION("""COMPUTED_VALUE"""),16.6097113751511)</f>
        <v>16.60971138</v>
      </c>
      <c r="C137" t="str">
        <f>IFERROR(__xludf.DUMMYFUNCTION("""COMPUTED_VALUE"""),"Casa Vacanza")</f>
        <v>Casa Vacanza</v>
      </c>
      <c r="D137" t="str">
        <f>IFERROR(__xludf.DUMMYFUNCTION("""COMPUTED_VALUE"""),"DIMORA NEI SASSI")</f>
        <v>DIMORA NEI SASSI</v>
      </c>
      <c r="E137" t="str">
        <f>IFERROR(__xludf.DUMMYFUNCTION("""COMPUTED_VALUE"""),"CATALDI DANIELA")</f>
        <v>CATALDI DANIELA</v>
      </c>
      <c r="F137" t="str">
        <f>IFERROR(__xludf.DUMMYFUNCTION("""COMPUTED_VALUE"""),"VIA SAN BARTOLOMEO 2")</f>
        <v>VIA SAN BARTOLOMEO 2</v>
      </c>
      <c r="G137" t="str">
        <f>IFERROR(__xludf.DUMMYFUNCTION("""COMPUTED_VALUE"""),"Matera")</f>
        <v>Matera</v>
      </c>
      <c r="H137" t="str">
        <f>IFERROR(__xludf.DUMMYFUNCTION("""COMPUTED_VALUE"""),"Italy")</f>
        <v>Italy</v>
      </c>
      <c r="I137">
        <f>IFERROR(__xludf.DUMMYFUNCTION("""COMPUTED_VALUE"""),1878.0)</f>
        <v>1878</v>
      </c>
      <c r="J137">
        <f>IFERROR(__xludf.DUMMYFUNCTION("""COMPUTED_VALUE"""),8.0)</f>
        <v>8</v>
      </c>
      <c r="K137">
        <f>IFERROR(__xludf.DUMMYFUNCTION("""COMPUTED_VALUE"""),159.0)</f>
        <v>159</v>
      </c>
      <c r="L137" t="str">
        <f>IFERROR(__xludf.DUMMYFUNCTION("""COMPUTED_VALUE"""),"CTLDNL77L46G786Z")</f>
        <v>CTLDNL77L46G786Z</v>
      </c>
      <c r="M137">
        <f>IFERROR(__xludf.DUMMYFUNCTION("""COMPUTED_VALUE"""),3.0)</f>
        <v>3</v>
      </c>
      <c r="N137">
        <f>IFERROR(__xludf.DUMMYFUNCTION("""COMPUTED_VALUE"""),42353.0)</f>
        <v>42353</v>
      </c>
      <c r="O137" t="str">
        <f>IFERROR(__xludf.DUMMYFUNCTION("""COMPUTED_VALUE"""),"")</f>
        <v/>
      </c>
    </row>
    <row r="138">
      <c r="A138">
        <f>IFERROR(__xludf.DUMMYFUNCTION("""COMPUTED_VALUE"""),40.666379)</f>
        <v>40.666379</v>
      </c>
      <c r="B138">
        <f>IFERROR(__xludf.DUMMYFUNCTION("""COMPUTED_VALUE"""),16.6043199)</f>
        <v>16.6043199</v>
      </c>
      <c r="C138" t="str">
        <f>IFERROR(__xludf.DUMMYFUNCTION("""COMPUTED_VALUE"""),"Casa Vacanza")</f>
        <v>Casa Vacanza</v>
      </c>
      <c r="D138" t="str">
        <f>IFERROR(__xludf.DUMMYFUNCTION("""COMPUTED_VALUE"""),"DOMUS ALBA")</f>
        <v>DOMUS ALBA</v>
      </c>
      <c r="E138" t="str">
        <f>IFERROR(__xludf.DUMMYFUNCTION("""COMPUTED_VALUE"""),"VALERIA VERRASTRO TERZULLIVIA CASALNUOVO 223")</f>
        <v>VALERIA VERRASTRO TERZULLIVIA CASALNUOVO 223</v>
      </c>
      <c r="F138" t="str">
        <f>IFERROR(__xludf.DUMMYFUNCTION("""COMPUTED_VALUE"""),"")</f>
        <v/>
      </c>
      <c r="G138" t="str">
        <f>IFERROR(__xludf.DUMMYFUNCTION("""COMPUTED_VALUE"""),"Matera")</f>
        <v>Matera</v>
      </c>
      <c r="H138" t="str">
        <f>IFERROR(__xludf.DUMMYFUNCTION("""COMPUTED_VALUE"""),"Italy")</f>
        <v>Italy</v>
      </c>
      <c r="I138">
        <f>IFERROR(__xludf.DUMMYFUNCTION("""COMPUTED_VALUE"""),2530.0)</f>
        <v>2530</v>
      </c>
      <c r="J138">
        <f>IFERROR(__xludf.DUMMYFUNCTION("""COMPUTED_VALUE"""),5.0)</f>
        <v>5</v>
      </c>
      <c r="K138">
        <f>IFERROR(__xludf.DUMMYFUNCTION("""COMPUTED_VALUE"""),159.0)</f>
        <v>159</v>
      </c>
      <c r="L138" t="str">
        <f>IFERROR(__xludf.DUMMYFUNCTION("""COMPUTED_VALUE"""),"VRRVLR71E64G942Z")</f>
        <v>VRRVLR71E64G942Z</v>
      </c>
      <c r="M138">
        <f>IFERROR(__xludf.DUMMYFUNCTION("""COMPUTED_VALUE"""),2.0)</f>
        <v>2</v>
      </c>
      <c r="N138">
        <f>IFERROR(__xludf.DUMMYFUNCTION("""COMPUTED_VALUE"""),42699.0)</f>
        <v>42699</v>
      </c>
      <c r="O138" t="str">
        <f>IFERROR(__xludf.DUMMYFUNCTION("""COMPUTED_VALUE"""),"")</f>
        <v/>
      </c>
    </row>
    <row r="139">
      <c r="A139">
        <f>IFERROR(__xludf.DUMMYFUNCTION("""COMPUTED_VALUE"""),40.6444539)</f>
        <v>40.6444539</v>
      </c>
      <c r="B139">
        <f>IFERROR(__xludf.DUMMYFUNCTION("""COMPUTED_VALUE"""),16.6241476)</f>
        <v>16.6241476</v>
      </c>
      <c r="C139" t="str">
        <f>IFERROR(__xludf.DUMMYFUNCTION("""COMPUTED_VALUE"""),"Casa Vacanza")</f>
        <v>Casa Vacanza</v>
      </c>
      <c r="D139" t="str">
        <f>IFERROR(__xludf.DUMMYFUNCTION("""COMPUTED_VALUE"""),"DOMUS ANGELA MATERA")</f>
        <v>DOMUS ANGELA MATERA</v>
      </c>
      <c r="E139" t="str">
        <f>IFERROR(__xludf.DUMMYFUNCTION("""COMPUTED_VALUE"""),"DI PEDE GIUSEPPE")</f>
        <v>DI PEDE GIUSEPPE</v>
      </c>
      <c r="F139" t="str">
        <f>IFERROR(__xludf.DUMMYFUNCTION("""COMPUTED_VALUE"""),"VIA T. RICCIARDI 11")</f>
        <v>VIA T. RICCIARDI 11</v>
      </c>
      <c r="G139" t="str">
        <f>IFERROR(__xludf.DUMMYFUNCTION("""COMPUTED_VALUE"""),"Matera")</f>
        <v>Matera</v>
      </c>
      <c r="H139" t="str">
        <f>IFERROR(__xludf.DUMMYFUNCTION("""COMPUTED_VALUE"""),"Italy")</f>
        <v>Italy</v>
      </c>
      <c r="I139" t="str">
        <f>IFERROR(__xludf.DUMMYFUNCTION("""COMPUTED_VALUE"""),"")</f>
        <v/>
      </c>
      <c r="J139" t="str">
        <f>IFERROR(__xludf.DUMMYFUNCTION("""COMPUTED_VALUE"""),"")</f>
        <v/>
      </c>
      <c r="K139" t="str">
        <f>IFERROR(__xludf.DUMMYFUNCTION("""COMPUTED_VALUE"""),"")</f>
        <v/>
      </c>
      <c r="L139" t="str">
        <f>IFERROR(__xludf.DUMMYFUNCTION("""COMPUTED_VALUE"""),"DPDGPP69S11F052C")</f>
        <v>DPDGPP69S11F052C</v>
      </c>
      <c r="M139" t="str">
        <f>IFERROR(__xludf.DUMMYFUNCTION("""COMPUTED_VALUE"""),"")</f>
        <v/>
      </c>
      <c r="N139">
        <f>IFERROR(__xludf.DUMMYFUNCTION("""COMPUTED_VALUE"""),42593.0)</f>
        <v>42593</v>
      </c>
      <c r="O139" t="str">
        <f>IFERROR(__xludf.DUMMYFUNCTION("""COMPUTED_VALUE"""),"")</f>
        <v/>
      </c>
    </row>
    <row r="140">
      <c r="A140">
        <f>IFERROR(__xludf.DUMMYFUNCTION("""COMPUTED_VALUE"""),40.6722145)</f>
        <v>40.6722145</v>
      </c>
      <c r="B140">
        <f>IFERROR(__xludf.DUMMYFUNCTION("""COMPUTED_VALUE"""),16.6077102)</f>
        <v>16.6077102</v>
      </c>
      <c r="C140" t="str">
        <f>IFERROR(__xludf.DUMMYFUNCTION("""COMPUTED_VALUE"""),"Casa Vacanza")</f>
        <v>Casa Vacanza</v>
      </c>
      <c r="D140" t="str">
        <f>IFERROR(__xludf.DUMMYFUNCTION("""COMPUTED_VALUE"""),"DOMUS GAIA MATERA")</f>
        <v>DOMUS GAIA MATERA</v>
      </c>
      <c r="E140" t="str">
        <f>IFERROR(__xludf.DUMMYFUNCTION("""COMPUTED_VALUE"""),"GIANFRANCO DIONISI")</f>
        <v>GIANFRANCO DIONISI</v>
      </c>
      <c r="F140" t="str">
        <f>IFERROR(__xludf.DUMMYFUNCTION("""COMPUTED_VALUE"""),"VIA GATTINI 22")</f>
        <v>VIA GATTINI 22</v>
      </c>
      <c r="G140" t="str">
        <f>IFERROR(__xludf.DUMMYFUNCTION("""COMPUTED_VALUE"""),"Matera")</f>
        <v>Matera</v>
      </c>
      <c r="H140" t="str">
        <f>IFERROR(__xludf.DUMMYFUNCTION("""COMPUTED_VALUE"""),"Italy")</f>
        <v>Italy</v>
      </c>
      <c r="I140">
        <f>IFERROR(__xludf.DUMMYFUNCTION("""COMPUTED_VALUE"""),3700.0)</f>
        <v>3700</v>
      </c>
      <c r="J140">
        <f>IFERROR(__xludf.DUMMYFUNCTION("""COMPUTED_VALUE"""),46.0)</f>
        <v>46</v>
      </c>
      <c r="K140">
        <f>IFERROR(__xludf.DUMMYFUNCTION("""COMPUTED_VALUE"""),159.0)</f>
        <v>159</v>
      </c>
      <c r="L140" t="str">
        <f>IFERROR(__xludf.DUMMYFUNCTION("""COMPUTED_VALUE"""),"DNSGFR69A24F052Q")</f>
        <v>DNSGFR69A24F052Q</v>
      </c>
      <c r="M140">
        <f>IFERROR(__xludf.DUMMYFUNCTION("""COMPUTED_VALUE"""),6.0)</f>
        <v>6</v>
      </c>
      <c r="N140">
        <f>IFERROR(__xludf.DUMMYFUNCTION("""COMPUTED_VALUE"""),42761.0)</f>
        <v>42761</v>
      </c>
      <c r="O140" t="str">
        <f>IFERROR(__xludf.DUMMYFUNCTION("""COMPUTED_VALUE"""),"")</f>
        <v/>
      </c>
    </row>
    <row r="141">
      <c r="A141">
        <f>IFERROR(__xludf.DUMMYFUNCTION("""COMPUTED_VALUE"""),40.6640326958893)</f>
        <v>40.6640327</v>
      </c>
      <c r="B141">
        <f>IFERROR(__xludf.DUMMYFUNCTION("""COMPUTED_VALUE"""),16.6003635559297)</f>
        <v>16.60036356</v>
      </c>
      <c r="C141" t="str">
        <f>IFERROR(__xludf.DUMMYFUNCTION("""COMPUTED_VALUE"""),"Casa Vacanza")</f>
        <v>Casa Vacanza</v>
      </c>
      <c r="D141" t="str">
        <f>IFERROR(__xludf.DUMMYFUNCTION("""COMPUTED_VALUE"""),"DOMUS SASSI")</f>
        <v>DOMUS SASSI</v>
      </c>
      <c r="E141" t="str">
        <f>IFERROR(__xludf.DUMMYFUNCTION("""COMPUTED_VALUE"""),"ANNA ZACCARO")</f>
        <v>ANNA ZACCARO</v>
      </c>
      <c r="F141" t="str">
        <f>IFERROR(__xludf.DUMMYFUNCTION("""COMPUTED_VALUE"""),"VICO3 CAPPELLUTI 27")</f>
        <v>VICO3 CAPPELLUTI 27</v>
      </c>
      <c r="G141" t="str">
        <f>IFERROR(__xludf.DUMMYFUNCTION("""COMPUTED_VALUE"""),"Matera")</f>
        <v>Matera</v>
      </c>
      <c r="H141" t="str">
        <f>IFERROR(__xludf.DUMMYFUNCTION("""COMPUTED_VALUE"""),"Italy")</f>
        <v>Italy</v>
      </c>
      <c r="I141">
        <f>IFERROR(__xludf.DUMMYFUNCTION("""COMPUTED_VALUE"""),446.0)</f>
        <v>446</v>
      </c>
      <c r="J141">
        <f>IFERROR(__xludf.DUMMYFUNCTION("""COMPUTED_VALUE"""),4.0)</f>
        <v>4</v>
      </c>
      <c r="K141">
        <f>IFERROR(__xludf.DUMMYFUNCTION("""COMPUTED_VALUE"""),71.0)</f>
        <v>71</v>
      </c>
      <c r="L141" t="str">
        <f>IFERROR(__xludf.DUMMYFUNCTION("""COMPUTED_VALUE"""),"ZCCNNA65S54F052V")</f>
        <v>ZCCNNA65S54F052V</v>
      </c>
      <c r="M141">
        <f>IFERROR(__xludf.DUMMYFUNCTION("""COMPUTED_VALUE"""),4.0)</f>
        <v>4</v>
      </c>
      <c r="N141">
        <f>IFERROR(__xludf.DUMMYFUNCTION("""COMPUTED_VALUE"""),42254.0)</f>
        <v>42254</v>
      </c>
      <c r="O141" t="str">
        <f>IFERROR(__xludf.DUMMYFUNCTION("""COMPUTED_VALUE"""),"")</f>
        <v/>
      </c>
    </row>
    <row r="142">
      <c r="A142">
        <f>IFERROR(__xludf.DUMMYFUNCTION("""COMPUTED_VALUE"""),40.6678119894025)</f>
        <v>40.66781199</v>
      </c>
      <c r="B142">
        <f>IFERROR(__xludf.DUMMYFUNCTION("""COMPUTED_VALUE"""),16.6045417184988)</f>
        <v>16.60454172</v>
      </c>
      <c r="C142" t="str">
        <f>IFERROR(__xludf.DUMMYFUNCTION("""COMPUTED_VALUE"""),"Casa Vacanza")</f>
        <v>Casa Vacanza</v>
      </c>
      <c r="D142" t="str">
        <f>IFERROR(__xludf.DUMMYFUNCTION("""COMPUTED_VALUE"""),"DOMUS VILU'")</f>
        <v>DOMUS VILU'</v>
      </c>
      <c r="E142" t="str">
        <f>IFERROR(__xludf.DUMMYFUNCTION("""COMPUTED_VALUE"""),"ANDRULLI FILOMENA")</f>
        <v>ANDRULLI FILOMENA</v>
      </c>
      <c r="F142" t="str">
        <f>IFERROR(__xludf.DUMMYFUNCTION("""COMPUTED_VALUE"""),"VIA ALESSIO DE SARIIS 19")</f>
        <v>VIA ALESSIO DE SARIIS 19</v>
      </c>
      <c r="G142" t="str">
        <f>IFERROR(__xludf.DUMMYFUNCTION("""COMPUTED_VALUE"""),"Matera")</f>
        <v>Matera</v>
      </c>
      <c r="H142" t="str">
        <f>IFERROR(__xludf.DUMMYFUNCTION("""COMPUTED_VALUE"""),"Italy")</f>
        <v>Italy</v>
      </c>
      <c r="I142">
        <f>IFERROR(__xludf.DUMMYFUNCTION("""COMPUTED_VALUE"""),3750.0)</f>
        <v>3750</v>
      </c>
      <c r="J142">
        <f>IFERROR(__xludf.DUMMYFUNCTION("""COMPUTED_VALUE"""),2.0)</f>
        <v>2</v>
      </c>
      <c r="K142">
        <f>IFERROR(__xludf.DUMMYFUNCTION("""COMPUTED_VALUE"""),159.0)</f>
        <v>159</v>
      </c>
      <c r="L142" t="str">
        <f>IFERROR(__xludf.DUMMYFUNCTION("""COMPUTED_VALUE"""),"NDRFMN76C50F052N")</f>
        <v>NDRFMN76C50F052N</v>
      </c>
      <c r="M142">
        <f>IFERROR(__xludf.DUMMYFUNCTION("""COMPUTED_VALUE"""),5.0)</f>
        <v>5</v>
      </c>
      <c r="N142">
        <f>IFERROR(__xludf.DUMMYFUNCTION("""COMPUTED_VALUE"""),43188.0)</f>
        <v>43188</v>
      </c>
      <c r="O142" t="str">
        <f>IFERROR(__xludf.DUMMYFUNCTION("""COMPUTED_VALUE"""),"")</f>
        <v/>
      </c>
    </row>
    <row r="143">
      <c r="A143">
        <f>IFERROR(__xludf.DUMMYFUNCTION("""COMPUTED_VALUE"""),40.6666171)</f>
        <v>40.6666171</v>
      </c>
      <c r="B143">
        <f>IFERROR(__xludf.DUMMYFUNCTION("""COMPUTED_VALUE"""),16.602594)</f>
        <v>16.602594</v>
      </c>
      <c r="C143" t="str">
        <f>IFERROR(__xludf.DUMMYFUNCTION("""COMPUTED_VALUE"""),"Casa Vacanza")</f>
        <v>Casa Vacanza</v>
      </c>
      <c r="D143" t="str">
        <f>IFERROR(__xludf.DUMMYFUNCTION("""COMPUTED_VALUE"""),"DON FRANCESCHINO")</f>
        <v>DON FRANCESCHINO</v>
      </c>
      <c r="E143" t="str">
        <f>IFERROR(__xludf.DUMMYFUNCTION("""COMPUTED_VALUE"""),"SARRA FILIPPO MARIA")</f>
        <v>SARRA FILIPPO MARIA</v>
      </c>
      <c r="F143" t="str">
        <f>IFERROR(__xludf.DUMMYFUNCTION("""COMPUTED_VALUE"""),"VIA DON MINZONI 46")</f>
        <v>VIA DON MINZONI 46</v>
      </c>
      <c r="G143" t="str">
        <f>IFERROR(__xludf.DUMMYFUNCTION("""COMPUTED_VALUE"""),"Matera")</f>
        <v>Matera</v>
      </c>
      <c r="H143" t="str">
        <f>IFERROR(__xludf.DUMMYFUNCTION("""COMPUTED_VALUE"""),"Italy")</f>
        <v>Italy</v>
      </c>
      <c r="I143">
        <f>IFERROR(__xludf.DUMMYFUNCTION("""COMPUTED_VALUE"""),270.0)</f>
        <v>270</v>
      </c>
      <c r="J143">
        <f>IFERROR(__xludf.DUMMYFUNCTION("""COMPUTED_VALUE"""),35.0)</f>
        <v>35</v>
      </c>
      <c r="K143">
        <f>IFERROR(__xludf.DUMMYFUNCTION("""COMPUTED_VALUE"""),71.0)</f>
        <v>71</v>
      </c>
      <c r="L143" t="str">
        <f>IFERROR(__xludf.DUMMYFUNCTION("""COMPUTED_VALUE"""),"SRRFPP45H05F052Q")</f>
        <v>SRRFPP45H05F052Q</v>
      </c>
      <c r="M143">
        <f>IFERROR(__xludf.DUMMYFUNCTION("""COMPUTED_VALUE"""),3.0)</f>
        <v>3</v>
      </c>
      <c r="N143">
        <f>IFERROR(__xludf.DUMMYFUNCTION("""COMPUTED_VALUE"""),42492.0)</f>
        <v>42492</v>
      </c>
      <c r="O143" t="str">
        <f>IFERROR(__xludf.DUMMYFUNCTION("""COMPUTED_VALUE"""),"")</f>
        <v/>
      </c>
    </row>
    <row r="144">
      <c r="A144">
        <f>IFERROR(__xludf.DUMMYFUNCTION("""COMPUTED_VALUE"""),40.651583)</f>
        <v>40.651583</v>
      </c>
      <c r="B144">
        <f>IFERROR(__xludf.DUMMYFUNCTION("""COMPUTED_VALUE"""),16.6168412)</f>
        <v>16.6168412</v>
      </c>
      <c r="C144" t="str">
        <f>IFERROR(__xludf.DUMMYFUNCTION("""COMPUTED_VALUE"""),"Casa Vacanza")</f>
        <v>Casa Vacanza</v>
      </c>
      <c r="D144" t="str">
        <f>IFERROR(__xludf.DUMMYFUNCTION("""COMPUTED_VALUE"""),"DONATELLO'S HOUSE")</f>
        <v>DONATELLO'S HOUSE</v>
      </c>
      <c r="E144" t="str">
        <f>IFERROR(__xludf.DUMMYFUNCTION("""COMPUTED_VALUE"""),"COLUCCI DONATO")</f>
        <v>COLUCCI DONATO</v>
      </c>
      <c r="F144" t="str">
        <f>IFERROR(__xludf.DUMMYFUNCTION("""COMPUTED_VALUE"""),"VIA MONTESCAGLIOSO  62 E 66")</f>
        <v>VIA MONTESCAGLIOSO  62 E 66</v>
      </c>
      <c r="G144" t="str">
        <f>IFERROR(__xludf.DUMMYFUNCTION("""COMPUTED_VALUE"""),"Matera")</f>
        <v>Matera</v>
      </c>
      <c r="H144" t="str">
        <f>IFERROR(__xludf.DUMMYFUNCTION("""COMPUTED_VALUE"""),"Italy")</f>
        <v>Italy</v>
      </c>
      <c r="I144">
        <f>IFERROR(__xludf.DUMMYFUNCTION("""COMPUTED_VALUE"""),165.0)</f>
        <v>165</v>
      </c>
      <c r="J144">
        <f>IFERROR(__xludf.DUMMYFUNCTION("""COMPUTED_VALUE"""),22.0)</f>
        <v>22</v>
      </c>
      <c r="K144">
        <f>IFERROR(__xludf.DUMMYFUNCTION("""COMPUTED_VALUE"""),113.0)</f>
        <v>113</v>
      </c>
      <c r="L144" t="str">
        <f>IFERROR(__xludf.DUMMYFUNCTION("""COMPUTED_VALUE"""),"CLCDNT61L25F052K")</f>
        <v>CLCDNT61L25F052K</v>
      </c>
      <c r="M144">
        <f>IFERROR(__xludf.DUMMYFUNCTION("""COMPUTED_VALUE"""),3.0)</f>
        <v>3</v>
      </c>
      <c r="N144">
        <f>IFERROR(__xludf.DUMMYFUNCTION("""COMPUTED_VALUE"""),42635.0)</f>
        <v>42635</v>
      </c>
      <c r="O144" t="str">
        <f>IFERROR(__xludf.DUMMYFUNCTION("""COMPUTED_VALUE"""),"")</f>
        <v/>
      </c>
    </row>
    <row r="145">
      <c r="A145">
        <f>IFERROR(__xludf.DUMMYFUNCTION("""COMPUTED_VALUE"""),40.6698517349477)</f>
        <v>40.66985173</v>
      </c>
      <c r="B145">
        <f>IFERROR(__xludf.DUMMYFUNCTION("""COMPUTED_VALUE"""),16.6089651670997)</f>
        <v>16.60896517</v>
      </c>
      <c r="C145" t="str">
        <f>IFERROR(__xludf.DUMMYFUNCTION("""COMPUTED_VALUE"""),"Casa Vacanza")</f>
        <v>Casa Vacanza</v>
      </c>
      <c r="D145" t="str">
        <f>IFERROR(__xludf.DUMMYFUNCTION("""COMPUTED_VALUE"""),"DONNA LETIZIA")</f>
        <v>DONNA LETIZIA</v>
      </c>
      <c r="E145" t="str">
        <f>IFERROR(__xludf.DUMMYFUNCTION("""COMPUTED_VALUE"""),"D'ALESSANDRO MARCELLA")</f>
        <v>D'ALESSANDRO MARCELLA</v>
      </c>
      <c r="F145" t="str">
        <f>IFERROR(__xludf.DUMMYFUNCTION("""COMPUTED_VALUE"""),"VIA SANTA CESAREA 59  2°PIANO")</f>
        <v>VIA SANTA CESAREA 59  2°PIANO</v>
      </c>
      <c r="G145" t="str">
        <f>IFERROR(__xludf.DUMMYFUNCTION("""COMPUTED_VALUE"""),"Matera")</f>
        <v>Matera</v>
      </c>
      <c r="H145" t="str">
        <f>IFERROR(__xludf.DUMMYFUNCTION("""COMPUTED_VALUE"""),"Italy")</f>
        <v>Italy</v>
      </c>
      <c r="I145">
        <f>IFERROR(__xludf.DUMMYFUNCTION("""COMPUTED_VALUE"""),3582.0)</f>
        <v>3582</v>
      </c>
      <c r="J145">
        <f>IFERROR(__xludf.DUMMYFUNCTION("""COMPUTED_VALUE"""),13.0)</f>
        <v>13</v>
      </c>
      <c r="K145">
        <f>IFERROR(__xludf.DUMMYFUNCTION("""COMPUTED_VALUE"""),159.0)</f>
        <v>159</v>
      </c>
      <c r="L145" t="str">
        <f>IFERROR(__xludf.DUMMYFUNCTION("""COMPUTED_VALUE"""),"DLSMCL61T68F637X")</f>
        <v>DLSMCL61T68F637X</v>
      </c>
      <c r="M145">
        <f>IFERROR(__xludf.DUMMYFUNCTION("""COMPUTED_VALUE"""),3.0)</f>
        <v>3</v>
      </c>
      <c r="N145">
        <f>IFERROR(__xludf.DUMMYFUNCTION("""COMPUTED_VALUE"""),42649.0)</f>
        <v>42649</v>
      </c>
      <c r="O145">
        <f>IFERROR(__xludf.DUMMYFUNCTION("""COMPUTED_VALUE"""),110.0)</f>
        <v>110</v>
      </c>
    </row>
    <row r="146">
      <c r="A146">
        <f>IFERROR(__xludf.DUMMYFUNCTION("""COMPUTED_VALUE"""),40.6673039247019)</f>
        <v>40.66730392</v>
      </c>
      <c r="B146">
        <f>IFERROR(__xludf.DUMMYFUNCTION("""COMPUTED_VALUE"""),16.6011114260037)</f>
        <v>16.60111143</v>
      </c>
      <c r="C146" t="str">
        <f>IFERROR(__xludf.DUMMYFUNCTION("""COMPUTED_VALUE"""),"Casa Vacanza")</f>
        <v>Casa Vacanza</v>
      </c>
      <c r="D146" t="str">
        <f>IFERROR(__xludf.DUMMYFUNCTION("""COMPUTED_VALUE"""),"DUE PASSI DAL CENTRO")</f>
        <v>DUE PASSI DAL CENTRO</v>
      </c>
      <c r="E146" t="str">
        <f>IFERROR(__xludf.DUMMYFUNCTION("""COMPUTED_VALUE"""),"DEL PARIGI LUCIA")</f>
        <v>DEL PARIGI LUCIA</v>
      </c>
      <c r="F146" t="str">
        <f>IFERROR(__xludf.DUMMYFUNCTION("""COMPUTED_VALUE"""),"VIA U. LA MALFA 14 7° piano")</f>
        <v>VIA U. LA MALFA 14 7° piano</v>
      </c>
      <c r="G146" t="str">
        <f>IFERROR(__xludf.DUMMYFUNCTION("""COMPUTED_VALUE"""),"Matera")</f>
        <v>Matera</v>
      </c>
      <c r="H146" t="str">
        <f>IFERROR(__xludf.DUMMYFUNCTION("""COMPUTED_VALUE"""),"Italy")</f>
        <v>Italy</v>
      </c>
      <c r="I146">
        <f>IFERROR(__xludf.DUMMYFUNCTION("""COMPUTED_VALUE"""),1922.0)</f>
        <v>1922</v>
      </c>
      <c r="J146">
        <f>IFERROR(__xludf.DUMMYFUNCTION("""COMPUTED_VALUE"""),145.0)</f>
        <v>145</v>
      </c>
      <c r="K146">
        <f>IFERROR(__xludf.DUMMYFUNCTION("""COMPUTED_VALUE"""),71.0)</f>
        <v>71</v>
      </c>
      <c r="L146" t="str">
        <f>IFERROR(__xludf.DUMMYFUNCTION("""COMPUTED_VALUE"""),"DLPLCU57C48E986X")</f>
        <v>DLPLCU57C48E986X</v>
      </c>
      <c r="M146">
        <f>IFERROR(__xludf.DUMMYFUNCTION("""COMPUTED_VALUE"""),3.0)</f>
        <v>3</v>
      </c>
      <c r="N146">
        <f>IFERROR(__xludf.DUMMYFUNCTION("""COMPUTED_VALUE"""),42895.0)</f>
        <v>42895</v>
      </c>
      <c r="O146">
        <f>IFERROR(__xludf.DUMMYFUNCTION("""COMPUTED_VALUE"""),1317.0)</f>
        <v>1317</v>
      </c>
    </row>
    <row r="147">
      <c r="A147">
        <f>IFERROR(__xludf.DUMMYFUNCTION("""COMPUTED_VALUE"""),40.6662912197667)</f>
        <v>40.66629122</v>
      </c>
      <c r="B147">
        <f>IFERROR(__xludf.DUMMYFUNCTION("""COMPUTED_VALUE"""),16.6097030102718)</f>
        <v>16.60970301</v>
      </c>
      <c r="C147" t="str">
        <f>IFERROR(__xludf.DUMMYFUNCTION("""COMPUTED_VALUE"""),"Casa Vacanza")</f>
        <v>Casa Vacanza</v>
      </c>
      <c r="D147" t="str">
        <f>IFERROR(__xludf.DUMMYFUNCTION("""COMPUTED_VALUE"""),"DUENDE CASA VACANZA")</f>
        <v>DUENDE CASA VACANZA</v>
      </c>
      <c r="E147" t="str">
        <f>IFERROR(__xludf.DUMMYFUNCTION("""COMPUTED_VALUE"""),"MONTEMURRO IVAN")</f>
        <v>MONTEMURRO IVAN</v>
      </c>
      <c r="F147" t="str">
        <f>IFERROR(__xludf.DUMMYFUNCTION("""COMPUTED_VALUE"""),"RECINTO SECONDO PARADISO 25")</f>
        <v>RECINTO SECONDO PARADISO 25</v>
      </c>
      <c r="G147" t="str">
        <f>IFERROR(__xludf.DUMMYFUNCTION("""COMPUTED_VALUE"""),"Matera")</f>
        <v>Matera</v>
      </c>
      <c r="H147" t="str">
        <f>IFERROR(__xludf.DUMMYFUNCTION("""COMPUTED_VALUE"""),"Italy")</f>
        <v>Italy</v>
      </c>
      <c r="I147">
        <f>IFERROR(__xludf.DUMMYFUNCTION("""COMPUTED_VALUE"""),770.0)</f>
        <v>770</v>
      </c>
      <c r="J147">
        <f>IFERROR(__xludf.DUMMYFUNCTION("""COMPUTED_VALUE"""),4.0)</f>
        <v>4</v>
      </c>
      <c r="K147">
        <f>IFERROR(__xludf.DUMMYFUNCTION("""COMPUTED_VALUE"""),159.0)</f>
        <v>159</v>
      </c>
      <c r="L147" t="str">
        <f>IFERROR(__xludf.DUMMYFUNCTION("""COMPUTED_VALUE"""),"MNTVNI92L26F052Y")</f>
        <v>MNTVNI92L26F052Y</v>
      </c>
      <c r="M147">
        <f>IFERROR(__xludf.DUMMYFUNCTION("""COMPUTED_VALUE"""),2.0)</f>
        <v>2</v>
      </c>
      <c r="N147">
        <f>IFERROR(__xludf.DUMMYFUNCTION("""COMPUTED_VALUE"""),43273.0)</f>
        <v>43273</v>
      </c>
      <c r="O147" t="str">
        <f>IFERROR(__xludf.DUMMYFUNCTION("""COMPUTED_VALUE"""),"")</f>
        <v/>
      </c>
    </row>
    <row r="148">
      <c r="A148">
        <f>IFERROR(__xludf.DUMMYFUNCTION("""COMPUTED_VALUE"""),40.6616999)</f>
        <v>40.6616999</v>
      </c>
      <c r="B148">
        <f>IFERROR(__xludf.DUMMYFUNCTION("""COMPUTED_VALUE"""),16.6090141)</f>
        <v>16.6090141</v>
      </c>
      <c r="C148" t="str">
        <f>IFERROR(__xludf.DUMMYFUNCTION("""COMPUTED_VALUE"""),"Casa Vacanza")</f>
        <v>Casa Vacanza</v>
      </c>
      <c r="D148" t="str">
        <f>IFERROR(__xludf.DUMMYFUNCTION("""COMPUTED_VALUE"""),"ECO DEI SASSI")</f>
        <v>ECO DEI SASSI</v>
      </c>
      <c r="E148" t="str">
        <f>IFERROR(__xludf.DUMMYFUNCTION("""COMPUTED_VALUE"""),"ANDRISANI MICHELE ANTONIOVIA CHIANCALATA  20")</f>
        <v>ANDRISANI MICHELE ANTONIOVIA CHIANCALATA  20</v>
      </c>
      <c r="F148" t="str">
        <f>IFERROR(__xludf.DUMMYFUNCTION("""COMPUTED_VALUE"""),"VIA CHIANCALATA 20")</f>
        <v>VIA CHIANCALATA 20</v>
      </c>
      <c r="G148" t="str">
        <f>IFERROR(__xludf.DUMMYFUNCTION("""COMPUTED_VALUE"""),"Matera")</f>
        <v>Matera</v>
      </c>
      <c r="H148" t="str">
        <f>IFERROR(__xludf.DUMMYFUNCTION("""COMPUTED_VALUE"""),"Italy")</f>
        <v>Italy</v>
      </c>
      <c r="I148">
        <f>IFERROR(__xludf.DUMMYFUNCTION("""COMPUTED_VALUE"""),135.0)</f>
        <v>135</v>
      </c>
      <c r="J148">
        <f>IFERROR(__xludf.DUMMYFUNCTION("""COMPUTED_VALUE"""),3.0)</f>
        <v>3</v>
      </c>
      <c r="K148">
        <f>IFERROR(__xludf.DUMMYFUNCTION("""COMPUTED_VALUE"""),103.0)</f>
        <v>103</v>
      </c>
      <c r="L148" t="str">
        <f>IFERROR(__xludf.DUMMYFUNCTION("""COMPUTED_VALUE"""),"NDRMHL58H12F052B")</f>
        <v>NDRMHL58H12F052B</v>
      </c>
      <c r="M148">
        <f>IFERROR(__xludf.DUMMYFUNCTION("""COMPUTED_VALUE"""),2.0)</f>
        <v>2</v>
      </c>
      <c r="N148">
        <f>IFERROR(__xludf.DUMMYFUNCTION("""COMPUTED_VALUE"""),42685.0)</f>
        <v>42685</v>
      </c>
      <c r="O148" t="str">
        <f>IFERROR(__xludf.DUMMYFUNCTION("""COMPUTED_VALUE"""),"")</f>
        <v/>
      </c>
    </row>
    <row r="149">
      <c r="A149">
        <f>IFERROR(__xludf.DUMMYFUNCTION("""COMPUTED_VALUE"""),40.6613673657315)</f>
        <v>40.66136737</v>
      </c>
      <c r="B149">
        <f>IFERROR(__xludf.DUMMYFUNCTION("""COMPUTED_VALUE"""),16.5854441667504)</f>
        <v>16.58544417</v>
      </c>
      <c r="C149" t="str">
        <f>IFERROR(__xludf.DUMMYFUNCTION("""COMPUTED_VALUE"""),"Casa Vacanza")</f>
        <v>Casa Vacanza</v>
      </c>
      <c r="D149" t="str">
        <f>IFERROR(__xludf.DUMMYFUNCTION("""COMPUTED_VALUE"""),"EDEN SASSI")</f>
        <v>EDEN SASSI</v>
      </c>
      <c r="E149" t="str">
        <f>IFERROR(__xludf.DUMMYFUNCTION("""COMPUTED_VALUE"""),"ANGELO POTI'")</f>
        <v>ANGELO POTI'</v>
      </c>
      <c r="F149" t="str">
        <f>IFERROR(__xludf.DUMMYFUNCTION("""COMPUTED_VALUE"""),"CONTRADA PAPALIONE")</f>
        <v>CONTRADA PAPALIONE</v>
      </c>
      <c r="G149" t="str">
        <f>IFERROR(__xludf.DUMMYFUNCTION("""COMPUTED_VALUE"""),"Matera")</f>
        <v>Matera</v>
      </c>
      <c r="H149" t="str">
        <f>IFERROR(__xludf.DUMMYFUNCTION("""COMPUTED_VALUE"""),"Italy")</f>
        <v>Italy</v>
      </c>
      <c r="I149">
        <f>IFERROR(__xludf.DUMMYFUNCTION("""COMPUTED_VALUE"""),452.0)</f>
        <v>452</v>
      </c>
      <c r="J149">
        <f>IFERROR(__xludf.DUMMYFUNCTION("""COMPUTED_VALUE"""),3.0)</f>
        <v>3</v>
      </c>
      <c r="K149">
        <f>IFERROR(__xludf.DUMMYFUNCTION("""COMPUTED_VALUE"""),100.0)</f>
        <v>100</v>
      </c>
      <c r="L149" t="str">
        <f>IFERROR(__xludf.DUMMYFUNCTION("""COMPUTED_VALUE"""),"PTONGL78C27F052H")</f>
        <v>PTONGL78C27F052H</v>
      </c>
      <c r="M149">
        <f>IFERROR(__xludf.DUMMYFUNCTION("""COMPUTED_VALUE"""),5.0)</f>
        <v>5</v>
      </c>
      <c r="N149">
        <f>IFERROR(__xludf.DUMMYFUNCTION("""COMPUTED_VALUE"""),42341.0)</f>
        <v>42341</v>
      </c>
      <c r="O149" t="str">
        <f>IFERROR(__xludf.DUMMYFUNCTION("""COMPUTED_VALUE"""),"")</f>
        <v/>
      </c>
    </row>
    <row r="150">
      <c r="A150">
        <f>IFERROR(__xludf.DUMMYFUNCTION("""COMPUTED_VALUE"""),40.6628731)</f>
        <v>40.6628731</v>
      </c>
      <c r="B150">
        <f>IFERROR(__xludf.DUMMYFUNCTION("""COMPUTED_VALUE"""),16.6081203)</f>
        <v>16.6081203</v>
      </c>
      <c r="C150" t="str">
        <f>IFERROR(__xludf.DUMMYFUNCTION("""COMPUTED_VALUE"""),"Casa Vacanza")</f>
        <v>Casa Vacanza</v>
      </c>
      <c r="D150" t="str">
        <f>IFERROR(__xludf.DUMMYFUNCTION("""COMPUTED_VALUE"""),"EXCELLENCE")</f>
        <v>EXCELLENCE</v>
      </c>
      <c r="E150" t="str">
        <f>IFERROR(__xludf.DUMMYFUNCTION("""COMPUTED_VALUE"""),"CARMINE CARELLA")</f>
        <v>CARMINE CARELLA</v>
      </c>
      <c r="F150" t="str">
        <f>IFERROR(__xludf.DUMMYFUNCTION("""COMPUTED_VALUE"""),"VIA P. VENA 25")</f>
        <v>VIA P. VENA 25</v>
      </c>
      <c r="G150" t="str">
        <f>IFERROR(__xludf.DUMMYFUNCTION("""COMPUTED_VALUE"""),"Matera")</f>
        <v>Matera</v>
      </c>
      <c r="H150" t="str">
        <f>IFERROR(__xludf.DUMMYFUNCTION("""COMPUTED_VALUE"""),"Italy")</f>
        <v>Italy</v>
      </c>
      <c r="I150">
        <f>IFERROR(__xludf.DUMMYFUNCTION("""COMPUTED_VALUE"""),523.0)</f>
        <v>523</v>
      </c>
      <c r="J150">
        <f>IFERROR(__xludf.DUMMYFUNCTION("""COMPUTED_VALUE"""),17.0)</f>
        <v>17</v>
      </c>
      <c r="K150">
        <f>IFERROR(__xludf.DUMMYFUNCTION("""COMPUTED_VALUE"""),103.0)</f>
        <v>103</v>
      </c>
      <c r="L150" t="str">
        <f>IFERROR(__xludf.DUMMYFUNCTION("""COMPUTED_VALUE"""),"CNNMNL79M24F052W")</f>
        <v>CNNMNL79M24F052W</v>
      </c>
      <c r="M150">
        <f>IFERROR(__xludf.DUMMYFUNCTION("""COMPUTED_VALUE"""),3.0)</f>
        <v>3</v>
      </c>
      <c r="N150">
        <f>IFERROR(__xludf.DUMMYFUNCTION("""COMPUTED_VALUE"""),42312.0)</f>
        <v>42312</v>
      </c>
      <c r="O150" t="str">
        <f>IFERROR(__xludf.DUMMYFUNCTION("""COMPUTED_VALUE"""),"")</f>
        <v/>
      </c>
    </row>
    <row r="151">
      <c r="A151">
        <f>IFERROR(__xludf.DUMMYFUNCTION("""COMPUTED_VALUE"""),40.6580343766759)</f>
        <v>40.65803438</v>
      </c>
      <c r="B151">
        <f>IFERROR(__xludf.DUMMYFUNCTION("""COMPUTED_VALUE"""),16.5380872347074)</f>
        <v>16.53808723</v>
      </c>
      <c r="C151" t="str">
        <f>IFERROR(__xludf.DUMMYFUNCTION("""COMPUTED_VALUE"""),"Casa Vacanza")</f>
        <v>Casa Vacanza</v>
      </c>
      <c r="D151" t="str">
        <f>IFERROR(__xludf.DUMMYFUNCTION("""COMPUTED_VALUE"""),"FINESTRA SUL BORGO")</f>
        <v>FINESTRA SUL BORGO</v>
      </c>
      <c r="E151" t="str">
        <f>IFERROR(__xludf.DUMMYFUNCTION("""COMPUTED_VALUE"""),"FIORE GIUSEPPE")</f>
        <v>FIORE GIUSEPPE</v>
      </c>
      <c r="F151" t="str">
        <f>IFERROR(__xludf.DUMMYFUNCTION("""COMPUTED_VALUE"""),"CONTRADA MONACELLE SNC")</f>
        <v>CONTRADA MONACELLE SNC</v>
      </c>
      <c r="G151" t="str">
        <f>IFERROR(__xludf.DUMMYFUNCTION("""COMPUTED_VALUE"""),"Matera")</f>
        <v>Matera</v>
      </c>
      <c r="H151" t="str">
        <f>IFERROR(__xludf.DUMMYFUNCTION("""COMPUTED_VALUE"""),"Italy")</f>
        <v>Italy</v>
      </c>
      <c r="I151">
        <f>IFERROR(__xludf.DUMMYFUNCTION("""COMPUTED_VALUE"""),276.0)</f>
        <v>276</v>
      </c>
      <c r="J151">
        <f>IFERROR(__xludf.DUMMYFUNCTION("""COMPUTED_VALUE"""),15.0)</f>
        <v>15</v>
      </c>
      <c r="K151">
        <f>IFERROR(__xludf.DUMMYFUNCTION("""COMPUTED_VALUE"""),92.0)</f>
        <v>92</v>
      </c>
      <c r="L151" t="str">
        <f>IFERROR(__xludf.DUMMYFUNCTION("""COMPUTED_VALUE"""),"FRIGPP68M27F052T")</f>
        <v>FRIGPP68M27F052T</v>
      </c>
      <c r="M151">
        <f>IFERROR(__xludf.DUMMYFUNCTION("""COMPUTED_VALUE"""),5.0)</f>
        <v>5</v>
      </c>
      <c r="N151">
        <f>IFERROR(__xludf.DUMMYFUNCTION("""COMPUTED_VALUE"""),43031.0)</f>
        <v>43031</v>
      </c>
      <c r="O151">
        <f>IFERROR(__xludf.DUMMYFUNCTION("""COMPUTED_VALUE"""),1535.0)</f>
        <v>1535</v>
      </c>
    </row>
    <row r="152">
      <c r="A152">
        <f>IFERROR(__xludf.DUMMYFUNCTION("""COMPUTED_VALUE"""),40.6670564722692)</f>
        <v>40.66705647</v>
      </c>
      <c r="B152">
        <f>IFERROR(__xludf.DUMMYFUNCTION("""COMPUTED_VALUE"""),16.607553675444)</f>
        <v>16.60755368</v>
      </c>
      <c r="C152" t="str">
        <f>IFERROR(__xludf.DUMMYFUNCTION("""COMPUTED_VALUE"""),"Casa Vacanza")</f>
        <v>Casa Vacanza</v>
      </c>
      <c r="D152" t="str">
        <f>IFERROR(__xludf.DUMMYFUNCTION("""COMPUTED_VALUE"""),"GLI IPOGEI")</f>
        <v>GLI IPOGEI</v>
      </c>
      <c r="E152" t="str">
        <f>IFERROR(__xludf.DUMMYFUNCTION("""COMPUTED_VALUE"""),"GIUSEPPINA D'ARIA")</f>
        <v>GIUSEPPINA D'ARIA</v>
      </c>
      <c r="F152" t="str">
        <f>IFERROR(__xludf.DUMMYFUNCTION("""COMPUTED_VALUE"""),"VIA ROSARIO 78")</f>
        <v>VIA ROSARIO 78</v>
      </c>
      <c r="G152" t="str">
        <f>IFERROR(__xludf.DUMMYFUNCTION("""COMPUTED_VALUE"""),"Matera")</f>
        <v>Matera</v>
      </c>
      <c r="H152" t="str">
        <f>IFERROR(__xludf.DUMMYFUNCTION("""COMPUTED_VALUE"""),"Italy")</f>
        <v>Italy</v>
      </c>
      <c r="I152">
        <f>IFERROR(__xludf.DUMMYFUNCTION("""COMPUTED_VALUE"""),2792.0)</f>
        <v>2792</v>
      </c>
      <c r="J152">
        <f>IFERROR(__xludf.DUMMYFUNCTION("""COMPUTED_VALUE"""),9.0)</f>
        <v>9</v>
      </c>
      <c r="K152">
        <f>IFERROR(__xludf.DUMMYFUNCTION("""COMPUTED_VALUE"""),159.0)</f>
        <v>159</v>
      </c>
      <c r="L152" t="str">
        <f>IFERROR(__xludf.DUMMYFUNCTION("""COMPUTED_VALUE"""),"DRAGPP54A62F052Q")</f>
        <v>DRAGPP54A62F052Q</v>
      </c>
      <c r="M152">
        <f>IFERROR(__xludf.DUMMYFUNCTION("""COMPUTED_VALUE"""),4.0)</f>
        <v>4</v>
      </c>
      <c r="N152">
        <f>IFERROR(__xludf.DUMMYFUNCTION("""COMPUTED_VALUE"""),42175.0)</f>
        <v>42175</v>
      </c>
      <c r="O152" t="str">
        <f>IFERROR(__xludf.DUMMYFUNCTION("""COMPUTED_VALUE"""),"")</f>
        <v/>
      </c>
    </row>
    <row r="153">
      <c r="A153">
        <f>IFERROR(__xludf.DUMMYFUNCTION("""COMPUTED_VALUE"""),40.641582)</f>
        <v>40.641582</v>
      </c>
      <c r="B153">
        <f>IFERROR(__xludf.DUMMYFUNCTION("""COMPUTED_VALUE"""),16.624182)</f>
        <v>16.624182</v>
      </c>
      <c r="C153" t="str">
        <f>IFERROR(__xludf.DUMMYFUNCTION("""COMPUTED_VALUE"""),"Casa Vacanza")</f>
        <v>Casa Vacanza</v>
      </c>
      <c r="D153" t="str">
        <f>IFERROR(__xludf.DUMMYFUNCTION("""COMPUTED_VALUE"""),"GRANO E LAVANDA")</f>
        <v>GRANO E LAVANDA</v>
      </c>
      <c r="E153" t="str">
        <f>IFERROR(__xludf.DUMMYFUNCTION("""COMPUTED_VALUE"""),"CRISTALLO MARIA EMANUELLA")</f>
        <v>CRISTALLO MARIA EMANUELLA</v>
      </c>
      <c r="F153" t="str">
        <f>IFERROR(__xludf.DUMMYFUNCTION("""COMPUTED_VALUE"""),"VIA DEI PESCI 6")</f>
        <v>VIA DEI PESCI 6</v>
      </c>
      <c r="G153" t="str">
        <f>IFERROR(__xludf.DUMMYFUNCTION("""COMPUTED_VALUE"""),"Matera")</f>
        <v>Matera</v>
      </c>
      <c r="H153" t="str">
        <f>IFERROR(__xludf.DUMMYFUNCTION("""COMPUTED_VALUE"""),"Italy")</f>
        <v>Italy</v>
      </c>
      <c r="I153">
        <f>IFERROR(__xludf.DUMMYFUNCTION("""COMPUTED_VALUE"""),383.0)</f>
        <v>383</v>
      </c>
      <c r="J153">
        <f>IFERROR(__xludf.DUMMYFUNCTION("""COMPUTED_VALUE"""),16.0)</f>
        <v>16</v>
      </c>
      <c r="K153">
        <f>IFERROR(__xludf.DUMMYFUNCTION("""COMPUTED_VALUE"""),114.0)</f>
        <v>114</v>
      </c>
      <c r="L153" t="str">
        <f>IFERROR(__xludf.DUMMYFUNCTION("""COMPUTED_VALUE"""),"CRSMMN61R51F052S")</f>
        <v>CRSMMN61R51F052S</v>
      </c>
      <c r="M153">
        <f>IFERROR(__xludf.DUMMYFUNCTION("""COMPUTED_VALUE"""),7.0)</f>
        <v>7</v>
      </c>
      <c r="N153">
        <f>IFERROR(__xludf.DUMMYFUNCTION("""COMPUTED_VALUE"""),42319.0)</f>
        <v>42319</v>
      </c>
      <c r="O153" t="str">
        <f>IFERROR(__xludf.DUMMYFUNCTION("""COMPUTED_VALUE"""),"")</f>
        <v/>
      </c>
    </row>
    <row r="154">
      <c r="A154">
        <f>IFERROR(__xludf.DUMMYFUNCTION("""COMPUTED_VALUE"""),40.6641602)</f>
        <v>40.6641602</v>
      </c>
      <c r="B154">
        <f>IFERROR(__xludf.DUMMYFUNCTION("""COMPUTED_VALUE"""),16.6086228)</f>
        <v>16.6086228</v>
      </c>
      <c r="C154" t="str">
        <f>IFERROR(__xludf.DUMMYFUNCTION("""COMPUTED_VALUE"""),"Casa Vacanza")</f>
        <v>Casa Vacanza</v>
      </c>
      <c r="D154" t="str">
        <f>IFERROR(__xludf.DUMMYFUNCTION("""COMPUTED_VALUE"""),"GRAZY")</f>
        <v>GRAZY</v>
      </c>
      <c r="E154" t="str">
        <f>IFERROR(__xludf.DUMMYFUNCTION("""COMPUTED_VALUE"""),"COSIMO GRIECO")</f>
        <v>COSIMO GRIECO</v>
      </c>
      <c r="F154" t="str">
        <f>IFERROR(__xludf.DUMMYFUNCTION("""COMPUTED_VALUE"""),"VIA ALESSANDRO VOLTA 1")</f>
        <v>VIA ALESSANDRO VOLTA 1</v>
      </c>
      <c r="G154" t="str">
        <f>IFERROR(__xludf.DUMMYFUNCTION("""COMPUTED_VALUE"""),"Matera")</f>
        <v>Matera</v>
      </c>
      <c r="H154" t="str">
        <f>IFERROR(__xludf.DUMMYFUNCTION("""COMPUTED_VALUE"""),"Italy")</f>
        <v>Italy</v>
      </c>
      <c r="I154">
        <f>IFERROR(__xludf.DUMMYFUNCTION("""COMPUTED_VALUE"""),2904.0)</f>
        <v>2904</v>
      </c>
      <c r="J154">
        <f>IFERROR(__xludf.DUMMYFUNCTION("""COMPUTED_VALUE"""),16.0)</f>
        <v>16</v>
      </c>
      <c r="K154">
        <f>IFERROR(__xludf.DUMMYFUNCTION("""COMPUTED_VALUE"""),159.0)</f>
        <v>159</v>
      </c>
      <c r="L154" t="str">
        <f>IFERROR(__xludf.DUMMYFUNCTION("""COMPUTED_VALUE"""),"GRCCSM68P17G942N")</f>
        <v>GRCCSM68P17G942N</v>
      </c>
      <c r="M154" t="str">
        <f>IFERROR(__xludf.DUMMYFUNCTION("""COMPUTED_VALUE"""),"")</f>
        <v/>
      </c>
      <c r="N154">
        <f>IFERROR(__xludf.DUMMYFUNCTION("""COMPUTED_VALUE"""),42495.0)</f>
        <v>42495</v>
      </c>
      <c r="O154" t="str">
        <f>IFERROR(__xludf.DUMMYFUNCTION("""COMPUTED_VALUE"""),"")</f>
        <v/>
      </c>
    </row>
    <row r="155">
      <c r="A155">
        <f>IFERROR(__xludf.DUMMYFUNCTION("""COMPUTED_VALUE"""),40.6669021478672)</f>
        <v>40.66690215</v>
      </c>
      <c r="B155">
        <f>IFERROR(__xludf.DUMMYFUNCTION("""COMPUTED_VALUE"""),16.607844212298)</f>
        <v>16.60784421</v>
      </c>
      <c r="C155" t="str">
        <f>IFERROR(__xludf.DUMMYFUNCTION("""COMPUTED_VALUE"""),"Casa Vacanza")</f>
        <v>Casa Vacanza</v>
      </c>
      <c r="D155" t="str">
        <f>IFERROR(__xludf.DUMMYFUNCTION("""COMPUTED_VALUE"""),"HABITAT")</f>
        <v>HABITAT</v>
      </c>
      <c r="E155" t="str">
        <f>IFERROR(__xludf.DUMMYFUNCTION("""COMPUTED_VALUE"""),"CANCELLIERE GIOVANNI LEANO")</f>
        <v>CANCELLIERE GIOVANNI LEANO</v>
      </c>
      <c r="F155" t="str">
        <f>IFERROR(__xludf.DUMMYFUNCTION("""COMPUTED_VALUE"""),"VICOLO FORNACI VECCHIE 48")</f>
        <v>VICOLO FORNACI VECCHIE 48</v>
      </c>
      <c r="G155" t="str">
        <f>IFERROR(__xludf.DUMMYFUNCTION("""COMPUTED_VALUE"""),"Matera")</f>
        <v>Matera</v>
      </c>
      <c r="H155" t="str">
        <f>IFERROR(__xludf.DUMMYFUNCTION("""COMPUTED_VALUE"""),"Italy")</f>
        <v>Italy</v>
      </c>
      <c r="I155">
        <f>IFERROR(__xludf.DUMMYFUNCTION("""COMPUTED_VALUE"""),574.0)</f>
        <v>574</v>
      </c>
      <c r="J155">
        <f>IFERROR(__xludf.DUMMYFUNCTION("""COMPUTED_VALUE"""),2.0)</f>
        <v>2</v>
      </c>
      <c r="K155">
        <f>IFERROR(__xludf.DUMMYFUNCTION("""COMPUTED_VALUE"""),159.0)</f>
        <v>159</v>
      </c>
      <c r="L155" t="str">
        <f>IFERROR(__xludf.DUMMYFUNCTION("""COMPUTED_VALUE"""),"CNCGNN80A06F052J")</f>
        <v>CNCGNN80A06F052J</v>
      </c>
      <c r="M155">
        <f>IFERROR(__xludf.DUMMYFUNCTION("""COMPUTED_VALUE"""),3.0)</f>
        <v>3</v>
      </c>
      <c r="N155">
        <f>IFERROR(__xludf.DUMMYFUNCTION("""COMPUTED_VALUE"""),41991.0)</f>
        <v>41991</v>
      </c>
      <c r="O155" t="str">
        <f>IFERROR(__xludf.DUMMYFUNCTION("""COMPUTED_VALUE"""),"")</f>
        <v/>
      </c>
    </row>
    <row r="156">
      <c r="A156">
        <f>IFERROR(__xludf.DUMMYFUNCTION("""COMPUTED_VALUE"""),40.6649542348746)</f>
        <v>40.66495423</v>
      </c>
      <c r="B156">
        <f>IFERROR(__xludf.DUMMYFUNCTION("""COMPUTED_VALUE"""),16.5906365986429)</f>
        <v>16.5906366</v>
      </c>
      <c r="C156" t="str">
        <f>IFERROR(__xludf.DUMMYFUNCTION("""COMPUTED_VALUE"""),"Casa Vacanza")</f>
        <v>Casa Vacanza</v>
      </c>
      <c r="D156" t="str">
        <f>IFERROR(__xludf.DUMMYFUNCTION("""COMPUTED_VALUE"""),"HAPPY HOUSE")</f>
        <v>HAPPY HOUSE</v>
      </c>
      <c r="E156" t="str">
        <f>IFERROR(__xludf.DUMMYFUNCTION("""COMPUTED_VALUE"""),"RUBINO ANGELA")</f>
        <v>RUBINO ANGELA</v>
      </c>
      <c r="F156" t="str">
        <f>IFERROR(__xludf.DUMMYFUNCTION("""COMPUTED_VALUE"""),"VIA PADRE SERAFINO DA SALANDRA 5")</f>
        <v>VIA PADRE SERAFINO DA SALANDRA 5</v>
      </c>
      <c r="G156" t="str">
        <f>IFERROR(__xludf.DUMMYFUNCTION("""COMPUTED_VALUE"""),"Matera")</f>
        <v>Matera</v>
      </c>
      <c r="H156" t="str">
        <f>IFERROR(__xludf.DUMMYFUNCTION("""COMPUTED_VALUE"""),"Italy")</f>
        <v>Italy</v>
      </c>
      <c r="I156">
        <f>IFERROR(__xludf.DUMMYFUNCTION("""COMPUTED_VALUE"""),390.0)</f>
        <v>390</v>
      </c>
      <c r="J156">
        <f>IFERROR(__xludf.DUMMYFUNCTION("""COMPUTED_VALUE"""),16.0)</f>
        <v>16</v>
      </c>
      <c r="K156">
        <f>IFERROR(__xludf.DUMMYFUNCTION("""COMPUTED_VALUE"""),69.0)</f>
        <v>69</v>
      </c>
      <c r="L156" t="str">
        <f>IFERROR(__xludf.DUMMYFUNCTION("""COMPUTED_VALUE"""),"RBNNLL52B64F052Z")</f>
        <v>RBNNLL52B64F052Z</v>
      </c>
      <c r="M156">
        <f>IFERROR(__xludf.DUMMYFUNCTION("""COMPUTED_VALUE"""),5.0)</f>
        <v>5</v>
      </c>
      <c r="N156">
        <f>IFERROR(__xludf.DUMMYFUNCTION("""COMPUTED_VALUE"""),43089.0)</f>
        <v>43089</v>
      </c>
      <c r="O156" t="str">
        <f>IFERROR(__xludf.DUMMYFUNCTION("""COMPUTED_VALUE"""),"")</f>
        <v/>
      </c>
    </row>
    <row r="157">
      <c r="A157">
        <f>IFERROR(__xludf.DUMMYFUNCTION("""COMPUTED_VALUE"""),40.670732)</f>
        <v>40.670732</v>
      </c>
      <c r="B157">
        <f>IFERROR(__xludf.DUMMYFUNCTION("""COMPUTED_VALUE"""),16.607459)</f>
        <v>16.607459</v>
      </c>
      <c r="C157" t="str">
        <f>IFERROR(__xludf.DUMMYFUNCTION("""COMPUTED_VALUE"""),"Casa Vacanza")</f>
        <v>Casa Vacanza</v>
      </c>
      <c r="D157" t="str">
        <f>IFERROR(__xludf.DUMMYFUNCTION("""COMPUTED_VALUE"""),"I DUE ANGELI")</f>
        <v>I DUE ANGELI</v>
      </c>
      <c r="E157" t="str">
        <f>IFERROR(__xludf.DUMMYFUNCTION("""COMPUTED_VALUE"""),"IACOVUZZI ANNA  MARIA")</f>
        <v>IACOVUZZI ANNA  MARIA</v>
      </c>
      <c r="F157" t="str">
        <f>IFERROR(__xludf.DUMMYFUNCTION("""COMPUTED_VALUE"""),"VIA TASSO 9")</f>
        <v>VIA TASSO 9</v>
      </c>
      <c r="G157" t="str">
        <f>IFERROR(__xludf.DUMMYFUNCTION("""COMPUTED_VALUE"""),"Matera")</f>
        <v>Matera</v>
      </c>
      <c r="H157" t="str">
        <f>IFERROR(__xludf.DUMMYFUNCTION("""COMPUTED_VALUE"""),"Italy")</f>
        <v>Italy</v>
      </c>
      <c r="I157">
        <f>IFERROR(__xludf.DUMMYFUNCTION("""COMPUTED_VALUE"""),3644.0)</f>
        <v>3644</v>
      </c>
      <c r="J157">
        <f>IFERROR(__xludf.DUMMYFUNCTION("""COMPUTED_VALUE"""),15.0)</f>
        <v>15</v>
      </c>
      <c r="K157">
        <f>IFERROR(__xludf.DUMMYFUNCTION("""COMPUTED_VALUE"""),159.0)</f>
        <v>159</v>
      </c>
      <c r="L157" t="str">
        <f>IFERROR(__xludf.DUMMYFUNCTION("""COMPUTED_VALUE"""),"CVZNMR55R71F052Q")</f>
        <v>CVZNMR55R71F052Q</v>
      </c>
      <c r="M157">
        <f>IFERROR(__xludf.DUMMYFUNCTION("""COMPUTED_VALUE"""),4.0)</f>
        <v>4</v>
      </c>
      <c r="N157">
        <f>IFERROR(__xludf.DUMMYFUNCTION("""COMPUTED_VALUE"""),43220.0)</f>
        <v>43220</v>
      </c>
      <c r="O157" t="str">
        <f>IFERROR(__xludf.DUMMYFUNCTION("""COMPUTED_VALUE"""),"")</f>
        <v/>
      </c>
    </row>
    <row r="158">
      <c r="A158">
        <f>IFERROR(__xludf.DUMMYFUNCTION("""COMPUTED_VALUE"""),40.6663325266156)</f>
        <v>40.66633253</v>
      </c>
      <c r="B158">
        <f>IFERROR(__xludf.DUMMYFUNCTION("""COMPUTED_VALUE"""),16.6126136912615)</f>
        <v>16.61261369</v>
      </c>
      <c r="C158" t="str">
        <f>IFERROR(__xludf.DUMMYFUNCTION("""COMPUTED_VALUE"""),"Casa Vacanza")</f>
        <v>Casa Vacanza</v>
      </c>
      <c r="D158" t="str">
        <f>IFERROR(__xludf.DUMMYFUNCTION("""COMPUTED_VALUE"""),"I DUE GATTONI")</f>
        <v>I DUE GATTONI</v>
      </c>
      <c r="E158" t="str">
        <f>IFERROR(__xludf.DUMMYFUNCTION("""COMPUTED_VALUE"""),"DE PACE LUIGI EMILIO")</f>
        <v>DE PACE LUIGI EMILIO</v>
      </c>
      <c r="F158" t="str">
        <f>IFERROR(__xludf.DUMMYFUNCTION("""COMPUTED_VALUE"""),"VIA SAN GIACOMO 52")</f>
        <v>VIA SAN GIACOMO 52</v>
      </c>
      <c r="G158" t="str">
        <f>IFERROR(__xludf.DUMMYFUNCTION("""COMPUTED_VALUE"""),"Matera")</f>
        <v>Matera</v>
      </c>
      <c r="H158" t="str">
        <f>IFERROR(__xludf.DUMMYFUNCTION("""COMPUTED_VALUE"""),"Italy")</f>
        <v>Italy</v>
      </c>
      <c r="I158">
        <f>IFERROR(__xludf.DUMMYFUNCTION("""COMPUTED_VALUE"""),1404.0)</f>
        <v>1404</v>
      </c>
      <c r="J158">
        <f>IFERROR(__xludf.DUMMYFUNCTION("""COMPUTED_VALUE"""),5.0)</f>
        <v>5</v>
      </c>
      <c r="K158">
        <f>IFERROR(__xludf.DUMMYFUNCTION("""COMPUTED_VALUE"""),159.0)</f>
        <v>159</v>
      </c>
      <c r="L158" t="str">
        <f>IFERROR(__xludf.DUMMYFUNCTION("""COMPUTED_VALUE"""),"DPCLML69E15L049V")</f>
        <v>DPCLML69E15L049V</v>
      </c>
      <c r="M158">
        <f>IFERROR(__xludf.DUMMYFUNCTION("""COMPUTED_VALUE"""),3.0)</f>
        <v>3</v>
      </c>
      <c r="N158">
        <f>IFERROR(__xludf.DUMMYFUNCTION("""COMPUTED_VALUE"""),41933.0)</f>
        <v>41933</v>
      </c>
      <c r="O158" t="str">
        <f>IFERROR(__xludf.DUMMYFUNCTION("""COMPUTED_VALUE"""),"")</f>
        <v/>
      </c>
    </row>
    <row r="159">
      <c r="A159">
        <f>IFERROR(__xludf.DUMMYFUNCTION("""COMPUTED_VALUE"""),40.6658105695512)</f>
        <v>40.66581057</v>
      </c>
      <c r="B159">
        <f>IFERROR(__xludf.DUMMYFUNCTION("""COMPUTED_VALUE"""),16.6044763744598)</f>
        <v>16.60447637</v>
      </c>
      <c r="C159" t="str">
        <f>IFERROR(__xludf.DUMMYFUNCTION("""COMPUTED_VALUE"""),"Casa Vacanze")</f>
        <v>Casa Vacanze</v>
      </c>
      <c r="D159" t="str">
        <f>IFERROR(__xludf.DUMMYFUNCTION("""COMPUTED_VALUE"""),"I FUOCHI")</f>
        <v>I FUOCHI</v>
      </c>
      <c r="E159" t="str">
        <f>IFERROR(__xludf.DUMMYFUNCTION("""COMPUTED_VALUE"""),"GABOR ANTONELLA MARINELLA")</f>
        <v>GABOR ANTONELLA MARINELLA</v>
      </c>
      <c r="F159" t="str">
        <f>IFERROR(__xludf.DUMMYFUNCTION("""COMPUTED_VALUE"""),"PIAZZA MULINO 14")</f>
        <v>PIAZZA MULINO 14</v>
      </c>
      <c r="G159" t="str">
        <f>IFERROR(__xludf.DUMMYFUNCTION("""COMPUTED_VALUE"""),"Matera")</f>
        <v>Matera</v>
      </c>
      <c r="H159" t="str">
        <f>IFERROR(__xludf.DUMMYFUNCTION("""COMPUTED_VALUE"""),"Italy")</f>
        <v>Italy</v>
      </c>
      <c r="I159">
        <f>IFERROR(__xludf.DUMMYFUNCTION("""COMPUTED_VALUE"""),1630.0)</f>
        <v>1630</v>
      </c>
      <c r="J159">
        <f>IFERROR(__xludf.DUMMYFUNCTION("""COMPUTED_VALUE"""),121.0)</f>
        <v>121</v>
      </c>
      <c r="K159">
        <f>IFERROR(__xludf.DUMMYFUNCTION("""COMPUTED_VALUE"""),71.0)</f>
        <v>71</v>
      </c>
      <c r="L159" t="str">
        <f>IFERROR(__xludf.DUMMYFUNCTION("""COMPUTED_VALUE"""),"GBRNNL90H53Z129K")</f>
        <v>GBRNNL90H53Z129K</v>
      </c>
      <c r="M159">
        <f>IFERROR(__xludf.DUMMYFUNCTION("""COMPUTED_VALUE"""),5.0)</f>
        <v>5</v>
      </c>
      <c r="N159">
        <f>IFERROR(__xludf.DUMMYFUNCTION("""COMPUTED_VALUE"""),43210.0)</f>
        <v>43210</v>
      </c>
      <c r="O159" t="str">
        <f>IFERROR(__xludf.DUMMYFUNCTION("""COMPUTED_VALUE"""),"")</f>
        <v/>
      </c>
    </row>
    <row r="160">
      <c r="A160">
        <f>IFERROR(__xludf.DUMMYFUNCTION("""COMPUTED_VALUE"""),40.6727176)</f>
        <v>40.6727176</v>
      </c>
      <c r="B160">
        <f>IFERROR(__xludf.DUMMYFUNCTION("""COMPUTED_VALUE"""),16.6077398)</f>
        <v>16.6077398</v>
      </c>
      <c r="C160" t="str">
        <f>IFERROR(__xludf.DUMMYFUNCTION("""COMPUTED_VALUE"""),"Casa Vacanza")</f>
        <v>Casa Vacanza</v>
      </c>
      <c r="D160" t="str">
        <f>IFERROR(__xludf.DUMMYFUNCTION("""COMPUTED_VALUE"""),"I SASSI DA NONNO CICCIO")</f>
        <v>I SASSI DA NONNO CICCIO</v>
      </c>
      <c r="E160" t="str">
        <f>IFERROR(__xludf.DUMMYFUNCTION("""COMPUTED_VALUE"""),"GIAMPETRUZZI NICOLA")</f>
        <v>GIAMPETRUZZI NICOLA</v>
      </c>
      <c r="F160" t="str">
        <f>IFERROR(__xludf.DUMMYFUNCTION("""COMPUTED_VALUE"""),"VIA S. STEFANO 29")</f>
        <v>VIA S. STEFANO 29</v>
      </c>
      <c r="G160" t="str">
        <f>IFERROR(__xludf.DUMMYFUNCTION("""COMPUTED_VALUE"""),"Matera")</f>
        <v>Matera</v>
      </c>
      <c r="H160" t="str">
        <f>IFERROR(__xludf.DUMMYFUNCTION("""COMPUTED_VALUE"""),"Italy")</f>
        <v>Italy</v>
      </c>
      <c r="I160">
        <f>IFERROR(__xludf.DUMMYFUNCTION("""COMPUTED_VALUE"""),4505.0)</f>
        <v>4505</v>
      </c>
      <c r="J160">
        <f>IFERROR(__xludf.DUMMYFUNCTION("""COMPUTED_VALUE"""),2.0)</f>
        <v>2</v>
      </c>
      <c r="K160">
        <f>IFERROR(__xludf.DUMMYFUNCTION("""COMPUTED_VALUE"""),159.0)</f>
        <v>159</v>
      </c>
      <c r="L160" t="str">
        <f>IFERROR(__xludf.DUMMYFUNCTION("""COMPUTED_VALUE"""),"MTRMGH48A66F201Y")</f>
        <v>MTRMGH48A66F201Y</v>
      </c>
      <c r="M160">
        <f>IFERROR(__xludf.DUMMYFUNCTION("""COMPUTED_VALUE"""),6.0)</f>
        <v>6</v>
      </c>
      <c r="N160">
        <f>IFERROR(__xludf.DUMMYFUNCTION("""COMPUTED_VALUE"""),42662.0)</f>
        <v>42662</v>
      </c>
      <c r="O160" t="str">
        <f>IFERROR(__xludf.DUMMYFUNCTION("""COMPUTED_VALUE"""),"")</f>
        <v/>
      </c>
    </row>
    <row r="161">
      <c r="A161">
        <f>IFERROR(__xludf.DUMMYFUNCTION("""COMPUTED_VALUE"""),40.6664975236001)</f>
        <v>40.66649752</v>
      </c>
      <c r="B161">
        <f>IFERROR(__xludf.DUMMYFUNCTION("""COMPUTED_VALUE"""),16.6125315557341)</f>
        <v>16.61253156</v>
      </c>
      <c r="C161" t="str">
        <f>IFERROR(__xludf.DUMMYFUNCTION("""COMPUTED_VALUE"""),"Casa Vacanza")</f>
        <v>Casa Vacanza</v>
      </c>
      <c r="D161" t="str">
        <f>IFERROR(__xludf.DUMMYFUNCTION("""COMPUTED_VALUE"""),"I SASSI DI TEOPISTA")</f>
        <v>I SASSI DI TEOPISTA</v>
      </c>
      <c r="E161" t="str">
        <f>IFERROR(__xludf.DUMMYFUNCTION("""COMPUTED_VALUE"""),"DI CUIA TEOPISTA")</f>
        <v>DI CUIA TEOPISTA</v>
      </c>
      <c r="F161" t="str">
        <f>IFERROR(__xludf.DUMMYFUNCTION("""COMPUTED_VALUE"""),"RECINTO PRIMOP DI VIA SAN GIACOMO 10")</f>
        <v>RECINTO PRIMOP DI VIA SAN GIACOMO 10</v>
      </c>
      <c r="G161" t="str">
        <f>IFERROR(__xludf.DUMMYFUNCTION("""COMPUTED_VALUE"""),"Matera")</f>
        <v>Matera</v>
      </c>
      <c r="H161" t="str">
        <f>IFERROR(__xludf.DUMMYFUNCTION("""COMPUTED_VALUE"""),"Italy")</f>
        <v>Italy</v>
      </c>
      <c r="I161">
        <f>IFERROR(__xludf.DUMMYFUNCTION("""COMPUTED_VALUE"""),1410.0)</f>
        <v>1410</v>
      </c>
      <c r="J161">
        <f>IFERROR(__xludf.DUMMYFUNCTION("""COMPUTED_VALUE"""),7.0)</f>
        <v>7</v>
      </c>
      <c r="K161">
        <f>IFERROR(__xludf.DUMMYFUNCTION("""COMPUTED_VALUE"""),159.0)</f>
        <v>159</v>
      </c>
      <c r="L161" t="str">
        <f>IFERROR(__xludf.DUMMYFUNCTION("""COMPUTED_VALUE"""),"DCITST69S51F052F")</f>
        <v>DCITST69S51F052F</v>
      </c>
      <c r="M161">
        <f>IFERROR(__xludf.DUMMYFUNCTION("""COMPUTED_VALUE"""),4.0)</f>
        <v>4</v>
      </c>
      <c r="N161">
        <f>IFERROR(__xludf.DUMMYFUNCTION("""COMPUTED_VALUE"""),43479.0)</f>
        <v>43479</v>
      </c>
      <c r="O161">
        <f>IFERROR(__xludf.DUMMYFUNCTION("""COMPUTED_VALUE"""),1219.0)</f>
        <v>1219</v>
      </c>
    </row>
    <row r="162">
      <c r="A162">
        <f>IFERROR(__xludf.DUMMYFUNCTION("""COMPUTED_VALUE"""),40.6535691185571)</f>
        <v>40.65356912</v>
      </c>
      <c r="B162">
        <f>IFERROR(__xludf.DUMMYFUNCTION("""COMPUTED_VALUE"""),16.4684434857746)</f>
        <v>16.46844349</v>
      </c>
      <c r="C162" t="str">
        <f>IFERROR(__xludf.DUMMYFUNCTION("""COMPUTED_VALUE"""),"Casa Vacanza")</f>
        <v>Casa Vacanza</v>
      </c>
      <c r="D162" t="str">
        <f>IFERROR(__xludf.DUMMYFUNCTION("""COMPUTED_VALUE"""),"I SASSI IN COLLINA")</f>
        <v>I SASSI IN COLLINA</v>
      </c>
      <c r="E162" t="str">
        <f>IFERROR(__xludf.DUMMYFUNCTION("""COMPUTED_VALUE"""),"QUINTO ROSSELLA")</f>
        <v>QUINTO ROSSELLA</v>
      </c>
      <c r="F162" t="str">
        <f>IFERROR(__xludf.DUMMYFUNCTION("""COMPUTED_VALUE"""),"BORGO TIMMARI")</f>
        <v>BORGO TIMMARI</v>
      </c>
      <c r="G162" t="str">
        <f>IFERROR(__xludf.DUMMYFUNCTION("""COMPUTED_VALUE"""),"Matera")</f>
        <v>Matera</v>
      </c>
      <c r="H162" t="str">
        <f>IFERROR(__xludf.DUMMYFUNCTION("""COMPUTED_VALUE"""),"Italy")</f>
        <v>Italy</v>
      </c>
      <c r="I162">
        <f>IFERROR(__xludf.DUMMYFUNCTION("""COMPUTED_VALUE"""),279.0)</f>
        <v>279</v>
      </c>
      <c r="J162">
        <f>IFERROR(__xludf.DUMMYFUNCTION("""COMPUTED_VALUE"""),3.0)</f>
        <v>3</v>
      </c>
      <c r="K162">
        <f>IFERROR(__xludf.DUMMYFUNCTION("""COMPUTED_VALUE"""),86.0)</f>
        <v>86</v>
      </c>
      <c r="L162" t="str">
        <f>IFERROR(__xludf.DUMMYFUNCTION("""COMPUTED_VALUE"""),"QNTRSL81H54F052K")</f>
        <v>QNTRSL81H54F052K</v>
      </c>
      <c r="M162">
        <f>IFERROR(__xludf.DUMMYFUNCTION("""COMPUTED_VALUE"""),2.0)</f>
        <v>2</v>
      </c>
      <c r="N162">
        <f>IFERROR(__xludf.DUMMYFUNCTION("""COMPUTED_VALUE"""),42420.0)</f>
        <v>42420</v>
      </c>
      <c r="O162" t="str">
        <f>IFERROR(__xludf.DUMMYFUNCTION("""COMPUTED_VALUE"""),"")</f>
        <v/>
      </c>
    </row>
    <row r="163">
      <c r="A163">
        <f>IFERROR(__xludf.DUMMYFUNCTION("""COMPUTED_VALUE"""),40.6717055)</f>
        <v>40.6717055</v>
      </c>
      <c r="B163">
        <f>IFERROR(__xludf.DUMMYFUNCTION("""COMPUTED_VALUE"""),16.6084209)</f>
        <v>16.6084209</v>
      </c>
      <c r="C163" t="str">
        <f>IFERROR(__xludf.DUMMYFUNCTION("""COMPUTED_VALUE"""),"Casa Vacanza")</f>
        <v>Casa Vacanza</v>
      </c>
      <c r="D163" t="str">
        <f>IFERROR(__xludf.DUMMYFUNCTION("""COMPUTED_VALUE"""),"I SASSI SUL TUFO")</f>
        <v>I SASSI SUL TUFO</v>
      </c>
      <c r="E163" t="str">
        <f>IFERROR(__xludf.DUMMYFUNCTION("""COMPUTED_VALUE"""),"CASALINO CIRIACA")</f>
        <v>CASALINO CIRIACA</v>
      </c>
      <c r="F163" t="str">
        <f>IFERROR(__xludf.DUMMYFUNCTION("""COMPUTED_VALUE"""),"VIA SANTO STEFANO 89")</f>
        <v>VIA SANTO STEFANO 89</v>
      </c>
      <c r="G163" t="str">
        <f>IFERROR(__xludf.DUMMYFUNCTION("""COMPUTED_VALUE"""),"Matera")</f>
        <v>Matera</v>
      </c>
      <c r="H163" t="str">
        <f>IFERROR(__xludf.DUMMYFUNCTION("""COMPUTED_VALUE"""),"Italy")</f>
        <v>Italy</v>
      </c>
      <c r="I163">
        <f>IFERROR(__xludf.DUMMYFUNCTION("""COMPUTED_VALUE"""),3709.0)</f>
        <v>3709</v>
      </c>
      <c r="J163">
        <f>IFERROR(__xludf.DUMMYFUNCTION("""COMPUTED_VALUE"""),4.0)</f>
        <v>4</v>
      </c>
      <c r="K163">
        <f>IFERROR(__xludf.DUMMYFUNCTION("""COMPUTED_VALUE"""),159.0)</f>
        <v>159</v>
      </c>
      <c r="L163" t="str">
        <f>IFERROR(__xludf.DUMMYFUNCTION("""COMPUTED_VALUE"""),"CSLCRC53P45F052N")</f>
        <v>CSLCRC53P45F052N</v>
      </c>
      <c r="M163">
        <f>IFERROR(__xludf.DUMMYFUNCTION("""COMPUTED_VALUE"""),2.0)</f>
        <v>2</v>
      </c>
      <c r="N163">
        <f>IFERROR(__xludf.DUMMYFUNCTION("""COMPUTED_VALUE"""),42725.0)</f>
        <v>42725</v>
      </c>
      <c r="O163" t="str">
        <f>IFERROR(__xludf.DUMMYFUNCTION("""COMPUTED_VALUE"""),"")</f>
        <v/>
      </c>
    </row>
    <row r="164">
      <c r="A164">
        <f>IFERROR(__xludf.DUMMYFUNCTION("""COMPUTED_VALUE"""),40.6536173522075)</f>
        <v>40.65361735</v>
      </c>
      <c r="B164">
        <f>IFERROR(__xludf.DUMMYFUNCTION("""COMPUTED_VALUE"""),16.4698847188947)</f>
        <v>16.46988472</v>
      </c>
      <c r="C164" t="str">
        <f>IFERROR(__xludf.DUMMYFUNCTION("""COMPUTED_VALUE"""),"Casa Vacanza")</f>
        <v>Casa Vacanza</v>
      </c>
      <c r="D164" t="str">
        <f>IFERROR(__xludf.DUMMYFUNCTION("""COMPUTED_VALUE"""),"I TRE ARCHI DEL VERDE COLLE DI TIMMARI")</f>
        <v>I TRE ARCHI DEL VERDE COLLE DI TIMMARI</v>
      </c>
      <c r="E164" t="str">
        <f>IFERROR(__xludf.DUMMYFUNCTION("""COMPUTED_VALUE"""),"MANZI ROSA")</f>
        <v>MANZI ROSA</v>
      </c>
      <c r="F164" t="str">
        <f>IFERROR(__xludf.DUMMYFUNCTION("""COMPUTED_VALUE"""),"LOCALITA' TIMMARI")</f>
        <v>LOCALITA' TIMMARI</v>
      </c>
      <c r="G164" t="str">
        <f>IFERROR(__xludf.DUMMYFUNCTION("""COMPUTED_VALUE"""),"Matera")</f>
        <v>Matera</v>
      </c>
      <c r="H164" t="str">
        <f>IFERROR(__xludf.DUMMYFUNCTION("""COMPUTED_VALUE"""),"Italy")</f>
        <v>Italy</v>
      </c>
      <c r="I164">
        <f>IFERROR(__xludf.DUMMYFUNCTION("""COMPUTED_VALUE"""),735.0)</f>
        <v>735</v>
      </c>
      <c r="J164">
        <f>IFERROR(__xludf.DUMMYFUNCTION("""COMPUTED_VALUE"""),2.0)</f>
        <v>2</v>
      </c>
      <c r="K164">
        <f>IFERROR(__xludf.DUMMYFUNCTION("""COMPUTED_VALUE"""),87.0)</f>
        <v>87</v>
      </c>
      <c r="L164" t="str">
        <f>IFERROR(__xludf.DUMMYFUNCTION("""COMPUTED_VALUE"""),"MNZRSO47P48L418X")</f>
        <v>MNZRSO47P48L418X</v>
      </c>
      <c r="M164">
        <f>IFERROR(__xludf.DUMMYFUNCTION("""COMPUTED_VALUE"""),3.0)</f>
        <v>3</v>
      </c>
      <c r="N164">
        <f>IFERROR(__xludf.DUMMYFUNCTION("""COMPUTED_VALUE"""),42853.0)</f>
        <v>42853</v>
      </c>
      <c r="O164">
        <f>IFERROR(__xludf.DUMMYFUNCTION("""COMPUTED_VALUE"""),1916.0)</f>
        <v>1916</v>
      </c>
    </row>
    <row r="165">
      <c r="A165">
        <f>IFERROR(__xludf.DUMMYFUNCTION("""COMPUTED_VALUE"""),40.67113)</f>
        <v>40.67113</v>
      </c>
      <c r="B165">
        <f>IFERROR(__xludf.DUMMYFUNCTION("""COMPUTED_VALUE"""),16.605989)</f>
        <v>16.605989</v>
      </c>
      <c r="C165" t="str">
        <f>IFERROR(__xludf.DUMMYFUNCTION("""COMPUTED_VALUE"""),"Casa Vacanza")</f>
        <v>Casa Vacanza</v>
      </c>
      <c r="D165" t="str">
        <f>IFERROR(__xludf.DUMMYFUNCTION("""COMPUTED_VALUE"""),"I TRE CARDILLI")</f>
        <v>I TRE CARDILLI</v>
      </c>
      <c r="E165" t="str">
        <f>IFERROR(__xludf.DUMMYFUNCTION("""COMPUTED_VALUE"""),"CIRILLO LUCIANO")</f>
        <v>CIRILLO LUCIANO</v>
      </c>
      <c r="F165" t="str">
        <f>IFERROR(__xludf.DUMMYFUNCTION("""COMPUTED_VALUE"""),"VIA ROSSELLI 31 1 PIANO")</f>
        <v>VIA ROSSELLI 31 1 PIANO</v>
      </c>
      <c r="G165" t="str">
        <f>IFERROR(__xludf.DUMMYFUNCTION("""COMPUTED_VALUE"""),"Matera")</f>
        <v>Matera</v>
      </c>
      <c r="H165" t="str">
        <f>IFERROR(__xludf.DUMMYFUNCTION("""COMPUTED_VALUE"""),"Italy")</f>
        <v>Italy</v>
      </c>
      <c r="I165">
        <f>IFERROR(__xludf.DUMMYFUNCTION("""COMPUTED_VALUE"""),3935.0)</f>
        <v>3935</v>
      </c>
      <c r="J165">
        <f>IFERROR(__xludf.DUMMYFUNCTION("""COMPUTED_VALUE"""),6.0)</f>
        <v>6</v>
      </c>
      <c r="K165">
        <f>IFERROR(__xludf.DUMMYFUNCTION("""COMPUTED_VALUE"""),159.0)</f>
        <v>159</v>
      </c>
      <c r="L165" t="str">
        <f>IFERROR(__xludf.DUMMYFUNCTION("""COMPUTED_VALUE"""),"CRLLCN61A01F052K")</f>
        <v>CRLLCN61A01F052K</v>
      </c>
      <c r="M165">
        <f>IFERROR(__xludf.DUMMYFUNCTION("""COMPUTED_VALUE"""),4.0)</f>
        <v>4</v>
      </c>
      <c r="N165">
        <f>IFERROR(__xludf.DUMMYFUNCTION("""COMPUTED_VALUE"""),42558.0)</f>
        <v>42558</v>
      </c>
      <c r="O165" t="str">
        <f>IFERROR(__xludf.DUMMYFUNCTION("""COMPUTED_VALUE"""),"")</f>
        <v/>
      </c>
    </row>
    <row r="166">
      <c r="A166">
        <f>IFERROR(__xludf.DUMMYFUNCTION("""COMPUTED_VALUE"""),40.664793)</f>
        <v>40.664793</v>
      </c>
      <c r="B166">
        <f>IFERROR(__xludf.DUMMYFUNCTION("""COMPUTED_VALUE"""),16.611572)</f>
        <v>16.611572</v>
      </c>
      <c r="C166" t="str">
        <f>IFERROR(__xludf.DUMMYFUNCTION("""COMPUTED_VALUE"""),"Casa Vacanza")</f>
        <v>Casa Vacanza</v>
      </c>
      <c r="D166" t="str">
        <f>IFERROR(__xludf.DUMMYFUNCTION("""COMPUTED_VALUE"""),"I TRE PORTALI")</f>
        <v>I TRE PORTALI</v>
      </c>
      <c r="E166" t="str">
        <f>IFERROR(__xludf.DUMMYFUNCTION("""COMPUTED_VALUE"""),"LOSCO VITTORIO L.F.")</f>
        <v>LOSCO VITTORIO L.F.</v>
      </c>
      <c r="F166" t="str">
        <f>IFERROR(__xludf.DUMMYFUNCTION("""COMPUTED_VALUE"""),"RIONE PIANELLE 89")</f>
        <v>RIONE PIANELLE 89</v>
      </c>
      <c r="G166" t="str">
        <f>IFERROR(__xludf.DUMMYFUNCTION("""COMPUTED_VALUE"""),"Matera")</f>
        <v>Matera</v>
      </c>
      <c r="H166" t="str">
        <f>IFERROR(__xludf.DUMMYFUNCTION("""COMPUTED_VALUE"""),"Italy")</f>
        <v>Italy</v>
      </c>
      <c r="I166">
        <f>IFERROR(__xludf.DUMMYFUNCTION("""COMPUTED_VALUE"""),1677.0)</f>
        <v>1677</v>
      </c>
      <c r="J166">
        <f>IFERROR(__xludf.DUMMYFUNCTION("""COMPUTED_VALUE"""),1.0)</f>
        <v>1</v>
      </c>
      <c r="K166">
        <f>IFERROR(__xludf.DUMMYFUNCTION("""COMPUTED_VALUE"""),159.0)</f>
        <v>159</v>
      </c>
      <c r="L166" t="str">
        <f>IFERROR(__xludf.DUMMYFUNCTION("""COMPUTED_VALUE"""),"LSCVTR75B20F052Q")</f>
        <v>LSCVTR75B20F052Q</v>
      </c>
      <c r="M166">
        <f>IFERROR(__xludf.DUMMYFUNCTION("""COMPUTED_VALUE"""),4.0)</f>
        <v>4</v>
      </c>
      <c r="N166">
        <f>IFERROR(__xludf.DUMMYFUNCTION("""COMPUTED_VALUE"""),42338.0)</f>
        <v>42338</v>
      </c>
      <c r="O166">
        <f>IFERROR(__xludf.DUMMYFUNCTION("""COMPUTED_VALUE"""),1719.0)</f>
        <v>1719</v>
      </c>
    </row>
    <row r="167">
      <c r="A167">
        <f>IFERROR(__xludf.DUMMYFUNCTION("""COMPUTED_VALUE"""),40.664102)</f>
        <v>40.664102</v>
      </c>
      <c r="B167">
        <f>IFERROR(__xludf.DUMMYFUNCTION("""COMPUTED_VALUE"""),16.611126)</f>
        <v>16.611126</v>
      </c>
      <c r="C167" t="str">
        <f>IFERROR(__xludf.DUMMYFUNCTION("""COMPUTED_VALUE"""),"Casa Vacanza")</f>
        <v>Casa Vacanza</v>
      </c>
      <c r="D167" t="str">
        <f>IFERROR(__xludf.DUMMYFUNCTION("""COMPUTED_VALUE"""),"IDRIS LOFT CIVICO 5")</f>
        <v>IDRIS LOFT CIVICO 5</v>
      </c>
      <c r="E167" t="str">
        <f>IFERROR(__xludf.DUMMYFUNCTION("""COMPUTED_VALUE"""),"LAGUARDIA FILIPPO")</f>
        <v>LAGUARDIA FILIPPO</v>
      </c>
      <c r="F167" t="str">
        <f>IFERROR(__xludf.DUMMYFUNCTION("""COMPUTED_VALUE"""),"VIA PONTE SAN PIETRO CAVEOSO 5")</f>
        <v>VIA PONTE SAN PIETRO CAVEOSO 5</v>
      </c>
      <c r="G167" t="str">
        <f>IFERROR(__xludf.DUMMYFUNCTION("""COMPUTED_VALUE"""),"Matera")</f>
        <v>Matera</v>
      </c>
      <c r="H167" t="str">
        <f>IFERROR(__xludf.DUMMYFUNCTION("""COMPUTED_VALUE"""),"Italy")</f>
        <v>Italy</v>
      </c>
      <c r="I167">
        <f>IFERROR(__xludf.DUMMYFUNCTION("""COMPUTED_VALUE"""),2117.0)</f>
        <v>2117</v>
      </c>
      <c r="J167">
        <f>IFERROR(__xludf.DUMMYFUNCTION("""COMPUTED_VALUE"""),2.0)</f>
        <v>2</v>
      </c>
      <c r="K167">
        <f>IFERROR(__xludf.DUMMYFUNCTION("""COMPUTED_VALUE"""),159.0)</f>
        <v>159</v>
      </c>
      <c r="L167" t="str">
        <f>IFERROR(__xludf.DUMMYFUNCTION("""COMPUTED_VALUE"""),"LGRFPP78D22F052S")</f>
        <v>LGRFPP78D22F052S</v>
      </c>
      <c r="M167">
        <f>IFERROR(__xludf.DUMMYFUNCTION("""COMPUTED_VALUE"""),2.0)</f>
        <v>2</v>
      </c>
      <c r="N167">
        <f>IFERROR(__xludf.DUMMYFUNCTION("""COMPUTED_VALUE"""),42719.0)</f>
        <v>42719</v>
      </c>
      <c r="O167" t="str">
        <f>IFERROR(__xludf.DUMMYFUNCTION("""COMPUTED_VALUE"""),"")</f>
        <v/>
      </c>
    </row>
    <row r="168">
      <c r="A168">
        <f>IFERROR(__xludf.DUMMYFUNCTION("""COMPUTED_VALUE"""),40.663953)</f>
        <v>40.663953</v>
      </c>
      <c r="B168">
        <f>IFERROR(__xludf.DUMMYFUNCTION("""COMPUTED_VALUE"""),16.6109685)</f>
        <v>16.6109685</v>
      </c>
      <c r="C168" t="str">
        <f>IFERROR(__xludf.DUMMYFUNCTION("""COMPUTED_VALUE"""),"Casa Vacanza")</f>
        <v>Casa Vacanza</v>
      </c>
      <c r="D168" t="str">
        <f>IFERROR(__xludf.DUMMYFUNCTION("""COMPUTED_VALUE"""),"IDRIS LOFT CIVICO 8")</f>
        <v>IDRIS LOFT CIVICO 8</v>
      </c>
      <c r="E168" t="str">
        <f>IFERROR(__xludf.DUMMYFUNCTION("""COMPUTED_VALUE"""),"LAGUARDIA FILIPPO")</f>
        <v>LAGUARDIA FILIPPO</v>
      </c>
      <c r="F168" t="str">
        <f>IFERROR(__xludf.DUMMYFUNCTION("""COMPUTED_VALUE"""),"VIA PONTE SAN PIETRO CAVEOSO8")</f>
        <v>VIA PONTE SAN PIETRO CAVEOSO8</v>
      </c>
      <c r="G168" t="str">
        <f>IFERROR(__xludf.DUMMYFUNCTION("""COMPUTED_VALUE"""),"Matera")</f>
        <v>Matera</v>
      </c>
      <c r="H168" t="str">
        <f>IFERROR(__xludf.DUMMYFUNCTION("""COMPUTED_VALUE"""),"Italy")</f>
        <v>Italy</v>
      </c>
      <c r="I168">
        <f>IFERROR(__xludf.DUMMYFUNCTION("""COMPUTED_VALUE"""),2117.0)</f>
        <v>2117</v>
      </c>
      <c r="J168">
        <f>IFERROR(__xludf.DUMMYFUNCTION("""COMPUTED_VALUE"""),1.0)</f>
        <v>1</v>
      </c>
      <c r="K168">
        <f>IFERROR(__xludf.DUMMYFUNCTION("""COMPUTED_VALUE"""),159.0)</f>
        <v>159</v>
      </c>
      <c r="L168" t="str">
        <f>IFERROR(__xludf.DUMMYFUNCTION("""COMPUTED_VALUE"""),"LGRFPP78D22F052S")</f>
        <v>LGRFPP78D22F052S</v>
      </c>
      <c r="M168">
        <f>IFERROR(__xludf.DUMMYFUNCTION("""COMPUTED_VALUE"""),2.0)</f>
        <v>2</v>
      </c>
      <c r="N168">
        <f>IFERROR(__xludf.DUMMYFUNCTION("""COMPUTED_VALUE"""),42719.0)</f>
        <v>42719</v>
      </c>
      <c r="O168" t="str">
        <f>IFERROR(__xludf.DUMMYFUNCTION("""COMPUTED_VALUE"""),"")</f>
        <v/>
      </c>
    </row>
    <row r="169">
      <c r="A169">
        <f>IFERROR(__xludf.DUMMYFUNCTION("""COMPUTED_VALUE"""),40.669989)</f>
        <v>40.669989</v>
      </c>
      <c r="B169">
        <f>IFERROR(__xludf.DUMMYFUNCTION("""COMPUTED_VALUE"""),16.60884)</f>
        <v>16.60884</v>
      </c>
      <c r="C169" t="str">
        <f>IFERROR(__xludf.DUMMYFUNCTION("""COMPUTED_VALUE"""),"Casa Vacanza")</f>
        <v>Casa Vacanza</v>
      </c>
      <c r="D169" t="str">
        <f>IFERROR(__xludf.DUMMYFUNCTION("""COMPUTED_VALUE"""),"IL BALCONCINO")</f>
        <v>IL BALCONCINO</v>
      </c>
      <c r="E169" t="str">
        <f>IFERROR(__xludf.DUMMYFUNCTION("""COMPUTED_VALUE"""),"DEFINA DANIELA")</f>
        <v>DEFINA DANIELA</v>
      </c>
      <c r="F169" t="str">
        <f>IFERROR(__xludf.DUMMYFUNCTION("""COMPUTED_VALUE"""),"VIA SANTA CESAREA 13")</f>
        <v>VIA SANTA CESAREA 13</v>
      </c>
      <c r="G169" t="str">
        <f>IFERROR(__xludf.DUMMYFUNCTION("""COMPUTED_VALUE"""),"Matera")</f>
        <v>Matera</v>
      </c>
      <c r="H169" t="str">
        <f>IFERROR(__xludf.DUMMYFUNCTION("""COMPUTED_VALUE"""),"Italy")</f>
        <v>Italy</v>
      </c>
      <c r="I169">
        <f>IFERROR(__xludf.DUMMYFUNCTION("""COMPUTED_VALUE"""),47.0)</f>
        <v>47</v>
      </c>
      <c r="J169">
        <f>IFERROR(__xludf.DUMMYFUNCTION("""COMPUTED_VALUE"""),28.0)</f>
        <v>28</v>
      </c>
      <c r="K169">
        <f>IFERROR(__xludf.DUMMYFUNCTION("""COMPUTED_VALUE"""),159.0)</f>
        <v>159</v>
      </c>
      <c r="L169" t="str">
        <f>IFERROR(__xludf.DUMMYFUNCTION("""COMPUTED_VALUE"""),"DFNDNL79C52C134R")</f>
        <v>DFNDNL79C52C134R</v>
      </c>
      <c r="M169">
        <f>IFERROR(__xludf.DUMMYFUNCTION("""COMPUTED_VALUE"""),4.0)</f>
        <v>4</v>
      </c>
      <c r="N169">
        <f>IFERROR(__xludf.DUMMYFUNCTION("""COMPUTED_VALUE"""),42384.0)</f>
        <v>42384</v>
      </c>
      <c r="O169" t="str">
        <f>IFERROR(__xludf.DUMMYFUNCTION("""COMPUTED_VALUE"""),"")</f>
        <v/>
      </c>
    </row>
    <row r="170">
      <c r="A170">
        <f>IFERROR(__xludf.DUMMYFUNCTION("""COMPUTED_VALUE"""),40.6627493)</f>
        <v>40.6627493</v>
      </c>
      <c r="B170">
        <f>IFERROR(__xludf.DUMMYFUNCTION("""COMPUTED_VALUE"""),16.6103562)</f>
        <v>16.6103562</v>
      </c>
      <c r="C170" t="str">
        <f>IFERROR(__xludf.DUMMYFUNCTION("""COMPUTED_VALUE"""),"Casa Vacanza")</f>
        <v>Casa Vacanza</v>
      </c>
      <c r="D170" t="str">
        <f>IFERROR(__xludf.DUMMYFUNCTION("""COMPUTED_VALUE"""),"IL BIANCOSPINO")</f>
        <v>IL BIANCOSPINO</v>
      </c>
      <c r="E170" t="str">
        <f>IFERROR(__xludf.DUMMYFUNCTION("""COMPUTED_VALUE"""),"ANGELA TARASCO")</f>
        <v>ANGELA TARASCO</v>
      </c>
      <c r="F170" t="str">
        <f>IFERROR(__xludf.DUMMYFUNCTION("""COMPUTED_VALUE"""),"VIA CASALNUOVO 259")</f>
        <v>VIA CASALNUOVO 259</v>
      </c>
      <c r="G170" t="str">
        <f>IFERROR(__xludf.DUMMYFUNCTION("""COMPUTED_VALUE"""),"Matera")</f>
        <v>Matera</v>
      </c>
      <c r="H170" t="str">
        <f>IFERROR(__xludf.DUMMYFUNCTION("""COMPUTED_VALUE"""),"Italy")</f>
        <v>Italy</v>
      </c>
      <c r="I170">
        <f>IFERROR(__xludf.DUMMYFUNCTION("""COMPUTED_VALUE"""),64.0)</f>
        <v>64</v>
      </c>
      <c r="J170">
        <f>IFERROR(__xludf.DUMMYFUNCTION("""COMPUTED_VALUE"""),14.0)</f>
        <v>14</v>
      </c>
      <c r="K170">
        <f>IFERROR(__xludf.DUMMYFUNCTION("""COMPUTED_VALUE"""),105.0)</f>
        <v>105</v>
      </c>
      <c r="L170" t="str">
        <f>IFERROR(__xludf.DUMMYFUNCTION("""COMPUTED_VALUE"""),"TRSNGL66L49F052S")</f>
        <v>TRSNGL66L49F052S</v>
      </c>
      <c r="M170">
        <f>IFERROR(__xludf.DUMMYFUNCTION("""COMPUTED_VALUE"""),5.0)</f>
        <v>5</v>
      </c>
      <c r="N170">
        <f>IFERROR(__xludf.DUMMYFUNCTION("""COMPUTED_VALUE"""),42345.0)</f>
        <v>42345</v>
      </c>
      <c r="O170" t="str">
        <f>IFERROR(__xludf.DUMMYFUNCTION("""COMPUTED_VALUE"""),"")</f>
        <v/>
      </c>
    </row>
    <row r="171">
      <c r="A171">
        <f>IFERROR(__xludf.DUMMYFUNCTION("""COMPUTED_VALUE"""),40.6696585288394)</f>
        <v>40.66965853</v>
      </c>
      <c r="B171">
        <f>IFERROR(__xludf.DUMMYFUNCTION("""COMPUTED_VALUE"""),16.6083357811927)</f>
        <v>16.60833578</v>
      </c>
      <c r="C171" t="str">
        <f>IFERROR(__xludf.DUMMYFUNCTION("""COMPUTED_VALUE"""),"Casa Vacanza")</f>
        <v>Casa Vacanza</v>
      </c>
      <c r="D171" t="str">
        <f>IFERROR(__xludf.DUMMYFUNCTION("""COMPUTED_VALUE"""),"IL BRIGANTE")</f>
        <v>IL BRIGANTE</v>
      </c>
      <c r="E171" t="str">
        <f>IFERROR(__xludf.DUMMYFUNCTION("""COMPUTED_VALUE"""),"SERGIO SALADINI")</f>
        <v>SERGIO SALADINI</v>
      </c>
      <c r="F171" t="str">
        <f>IFERROR(__xludf.DUMMYFUNCTION("""COMPUTED_VALUE"""),"VICO PIAVE 4 PIANO T")</f>
        <v>VICO PIAVE 4 PIANO T</v>
      </c>
      <c r="G171" t="str">
        <f>IFERROR(__xludf.DUMMYFUNCTION("""COMPUTED_VALUE"""),"Matera")</f>
        <v>Matera</v>
      </c>
      <c r="H171" t="str">
        <f>IFERROR(__xludf.DUMMYFUNCTION("""COMPUTED_VALUE"""),"Italy")</f>
        <v>Italy</v>
      </c>
      <c r="I171">
        <f>IFERROR(__xludf.DUMMYFUNCTION("""COMPUTED_VALUE"""),3566.0)</f>
        <v>3566</v>
      </c>
      <c r="J171">
        <f>IFERROR(__xludf.DUMMYFUNCTION("""COMPUTED_VALUE"""),10.0)</f>
        <v>10</v>
      </c>
      <c r="K171">
        <f>IFERROR(__xludf.DUMMYFUNCTION("""COMPUTED_VALUE"""),159.0)</f>
        <v>159</v>
      </c>
      <c r="L171" t="str">
        <f>IFERROR(__xludf.DUMMYFUNCTION("""COMPUTED_VALUE"""),"SLDSRG86R04F052Q")</f>
        <v>SLDSRG86R04F052Q</v>
      </c>
      <c r="M171">
        <f>IFERROR(__xludf.DUMMYFUNCTION("""COMPUTED_VALUE"""),5.0)</f>
        <v>5</v>
      </c>
      <c r="N171">
        <f>IFERROR(__xludf.DUMMYFUNCTION("""COMPUTED_VALUE"""),43038.0)</f>
        <v>43038</v>
      </c>
      <c r="O171" t="str">
        <f>IFERROR(__xludf.DUMMYFUNCTION("""COMPUTED_VALUE"""),"")</f>
        <v/>
      </c>
    </row>
    <row r="172">
      <c r="A172">
        <f>IFERROR(__xludf.DUMMYFUNCTION("""COMPUTED_VALUE"""),40.6658105695512)</f>
        <v>40.66581057</v>
      </c>
      <c r="B172">
        <f>IFERROR(__xludf.DUMMYFUNCTION("""COMPUTED_VALUE"""),16.6044763744598)</f>
        <v>16.60447637</v>
      </c>
      <c r="C172" t="str">
        <f>IFERROR(__xludf.DUMMYFUNCTION("""COMPUTED_VALUE"""),"Casa Vacanza")</f>
        <v>Casa Vacanza</v>
      </c>
      <c r="D172" t="str">
        <f>IFERROR(__xludf.DUMMYFUNCTION("""COMPUTED_VALUE"""),"IL CARRO TRIONFALE")</f>
        <v>IL CARRO TRIONFALE</v>
      </c>
      <c r="E172" t="str">
        <f>IFERROR(__xludf.DUMMYFUNCTION("""COMPUTED_VALUE"""),"GABOR ANTONELLA MARINELLA")</f>
        <v>GABOR ANTONELLA MARINELLA</v>
      </c>
      <c r="F172" t="str">
        <f>IFERROR(__xludf.DUMMYFUNCTION("""COMPUTED_VALUE"""),"PIAZZA MULINO 14")</f>
        <v>PIAZZA MULINO 14</v>
      </c>
      <c r="G172" t="str">
        <f>IFERROR(__xludf.DUMMYFUNCTION("""COMPUTED_VALUE"""),"Matera")</f>
        <v>Matera</v>
      </c>
      <c r="H172" t="str">
        <f>IFERROR(__xludf.DUMMYFUNCTION("""COMPUTED_VALUE"""),"Italy")</f>
        <v>Italy</v>
      </c>
      <c r="I172">
        <f>IFERROR(__xludf.DUMMYFUNCTION("""COMPUTED_VALUE"""),1630.0)</f>
        <v>1630</v>
      </c>
      <c r="J172">
        <f>IFERROR(__xludf.DUMMYFUNCTION("""COMPUTED_VALUE"""),120.0)</f>
        <v>120</v>
      </c>
      <c r="K172">
        <f>IFERROR(__xludf.DUMMYFUNCTION("""COMPUTED_VALUE"""),71.0)</f>
        <v>71</v>
      </c>
      <c r="L172" t="str">
        <f>IFERROR(__xludf.DUMMYFUNCTION("""COMPUTED_VALUE"""),"GBRNNL90H53Z129K")</f>
        <v>GBRNNL90H53Z129K</v>
      </c>
      <c r="M172">
        <f>IFERROR(__xludf.DUMMYFUNCTION("""COMPUTED_VALUE"""),4.0)</f>
        <v>4</v>
      </c>
      <c r="N172">
        <f>IFERROR(__xludf.DUMMYFUNCTION("""COMPUTED_VALUE"""),43210.0)</f>
        <v>43210</v>
      </c>
      <c r="O172" t="str">
        <f>IFERROR(__xludf.DUMMYFUNCTION("""COMPUTED_VALUE"""),"")</f>
        <v/>
      </c>
    </row>
    <row r="173">
      <c r="A173">
        <f>IFERROR(__xludf.DUMMYFUNCTION("""COMPUTED_VALUE"""),40.6567392652768)</f>
        <v>40.65673927</v>
      </c>
      <c r="B173">
        <f>IFERROR(__xludf.DUMMYFUNCTION("""COMPUTED_VALUE"""),16.61660188118)</f>
        <v>16.61660188</v>
      </c>
      <c r="C173" t="str">
        <f>IFERROR(__xludf.DUMMYFUNCTION("""COMPUTED_VALUE"""),"Casa Vacanza")</f>
        <v>Casa Vacanza</v>
      </c>
      <c r="D173" t="str">
        <f>IFERROR(__xludf.DUMMYFUNCTION("""COMPUTED_VALUE"""),"IL CASALE DEI SASSI")</f>
        <v>IL CASALE DEI SASSI</v>
      </c>
      <c r="E173" t="str">
        <f>IFERROR(__xludf.DUMMYFUNCTION("""COMPUTED_VALUE"""),"TASSIELLO ELEONORA")</f>
        <v>TASSIELLO ELEONORA</v>
      </c>
      <c r="F173" t="str">
        <f>IFERROR(__xludf.DUMMYFUNCTION("""COMPUTED_VALUE"""),"VIA CASALNUOVO 305 BIS")</f>
        <v>VIA CASALNUOVO 305 BIS</v>
      </c>
      <c r="G173" t="str">
        <f>IFERROR(__xludf.DUMMYFUNCTION("""COMPUTED_VALUE"""),"Matera")</f>
        <v>Matera</v>
      </c>
      <c r="H173" t="str">
        <f>IFERROR(__xludf.DUMMYFUNCTION("""COMPUTED_VALUE"""),"Italy")</f>
        <v>Italy</v>
      </c>
      <c r="I173">
        <f>IFERROR(__xludf.DUMMYFUNCTION("""COMPUTED_VALUE"""),59.0)</f>
        <v>59</v>
      </c>
      <c r="J173">
        <f>IFERROR(__xludf.DUMMYFUNCTION("""COMPUTED_VALUE"""),2.0)</f>
        <v>2</v>
      </c>
      <c r="K173">
        <f>IFERROR(__xludf.DUMMYFUNCTION("""COMPUTED_VALUE"""),105.0)</f>
        <v>105</v>
      </c>
      <c r="L173" t="str">
        <f>IFERROR(__xludf.DUMMYFUNCTION("""COMPUTED_VALUE"""),"TSSLNR86C70F052Q")</f>
        <v>TSSLNR86C70F052Q</v>
      </c>
      <c r="M173">
        <f>IFERROR(__xludf.DUMMYFUNCTION("""COMPUTED_VALUE"""),2.0)</f>
        <v>2</v>
      </c>
      <c r="N173">
        <f>IFERROR(__xludf.DUMMYFUNCTION("""COMPUTED_VALUE"""),42574.0)</f>
        <v>42574</v>
      </c>
      <c r="O173">
        <f>IFERROR(__xludf.DUMMYFUNCTION("""COMPUTED_VALUE"""),2123.0)</f>
        <v>2123</v>
      </c>
    </row>
    <row r="174">
      <c r="A174">
        <f>IFERROR(__xludf.DUMMYFUNCTION("""COMPUTED_VALUE"""),40.6658105695512)</f>
        <v>40.66581057</v>
      </c>
      <c r="B174">
        <f>IFERROR(__xludf.DUMMYFUNCTION("""COMPUTED_VALUE"""),16.6044763744598)</f>
        <v>16.60447637</v>
      </c>
      <c r="C174" t="str">
        <f>IFERROR(__xludf.DUMMYFUNCTION("""COMPUTED_VALUE"""),"Casa Vacanze")</f>
        <v>Casa Vacanze</v>
      </c>
      <c r="D174" t="str">
        <f>IFERROR(__xludf.DUMMYFUNCTION("""COMPUTED_VALUE"""),"IL CAVALIERE")</f>
        <v>IL CAVALIERE</v>
      </c>
      <c r="E174" t="str">
        <f>IFERROR(__xludf.DUMMYFUNCTION("""COMPUTED_VALUE"""),"GABOR ANTONELLA MARINELLA")</f>
        <v>GABOR ANTONELLA MARINELLA</v>
      </c>
      <c r="F174" t="str">
        <f>IFERROR(__xludf.DUMMYFUNCTION("""COMPUTED_VALUE"""),"PIAZZA MULINO 14")</f>
        <v>PIAZZA MULINO 14</v>
      </c>
      <c r="G174" t="str">
        <f>IFERROR(__xludf.DUMMYFUNCTION("""COMPUTED_VALUE"""),"Matera")</f>
        <v>Matera</v>
      </c>
      <c r="H174" t="str">
        <f>IFERROR(__xludf.DUMMYFUNCTION("""COMPUTED_VALUE"""),"Italy")</f>
        <v>Italy</v>
      </c>
      <c r="I174">
        <f>IFERROR(__xludf.DUMMYFUNCTION("""COMPUTED_VALUE"""),1630.0)</f>
        <v>1630</v>
      </c>
      <c r="J174">
        <f>IFERROR(__xludf.DUMMYFUNCTION("""COMPUTED_VALUE"""),118.0)</f>
        <v>118</v>
      </c>
      <c r="K174">
        <f>IFERROR(__xludf.DUMMYFUNCTION("""COMPUTED_VALUE"""),71.0)</f>
        <v>71</v>
      </c>
      <c r="L174" t="str">
        <f>IFERROR(__xludf.DUMMYFUNCTION("""COMPUTED_VALUE"""),"GBRNNL90H53Z129K")</f>
        <v>GBRNNL90H53Z129K</v>
      </c>
      <c r="M174">
        <f>IFERROR(__xludf.DUMMYFUNCTION("""COMPUTED_VALUE"""),5.0)</f>
        <v>5</v>
      </c>
      <c r="N174">
        <f>IFERROR(__xludf.DUMMYFUNCTION("""COMPUTED_VALUE"""),43210.0)</f>
        <v>43210</v>
      </c>
      <c r="O174" t="str">
        <f>IFERROR(__xludf.DUMMYFUNCTION("""COMPUTED_VALUE"""),"")</f>
        <v/>
      </c>
    </row>
    <row r="175">
      <c r="A175">
        <f>IFERROR(__xludf.DUMMYFUNCTION("""COMPUTED_VALUE"""),40.6663236)</f>
        <v>40.6663236</v>
      </c>
      <c r="B175">
        <f>IFERROR(__xludf.DUMMYFUNCTION("""COMPUTED_VALUE"""),16.6039824)</f>
        <v>16.6039824</v>
      </c>
      <c r="C175" t="str">
        <f>IFERROR(__xludf.DUMMYFUNCTION("""COMPUTED_VALUE"""),"Casa Vacanza")</f>
        <v>Casa Vacanza</v>
      </c>
      <c r="D175" t="str">
        <f>IFERROR(__xludf.DUMMYFUNCTION("""COMPUTED_VALUE"""),"IL CONIGLIO BRUNO")</f>
        <v>IL CONIGLIO BRUNO</v>
      </c>
      <c r="E175" t="str">
        <f>IFERROR(__xludf.DUMMYFUNCTION("""COMPUTED_VALUE"""),"ROBERTA CONIGLIO")</f>
        <v>ROBERTA CONIGLIO</v>
      </c>
      <c r="F175" t="str">
        <f>IFERROR(__xludf.DUMMYFUNCTION("""COMPUTED_VALUE"""),"VIA LUCANA 229 INT.3")</f>
        <v>VIA LUCANA 229 INT.3</v>
      </c>
      <c r="G175" t="str">
        <f>IFERROR(__xludf.DUMMYFUNCTION("""COMPUTED_VALUE"""),"Matera")</f>
        <v>Matera</v>
      </c>
      <c r="H175" t="str">
        <f>IFERROR(__xludf.DUMMYFUNCTION("""COMPUTED_VALUE"""),"Italy")</f>
        <v>Italy</v>
      </c>
      <c r="I175">
        <f>IFERROR(__xludf.DUMMYFUNCTION("""COMPUTED_VALUE"""),3428.0)</f>
        <v>3428</v>
      </c>
      <c r="J175">
        <f>IFERROR(__xludf.DUMMYFUNCTION("""COMPUTED_VALUE"""),13.0)</f>
        <v>13</v>
      </c>
      <c r="K175">
        <f>IFERROR(__xludf.DUMMYFUNCTION("""COMPUTED_VALUE"""),159.0)</f>
        <v>159</v>
      </c>
      <c r="L175" t="str">
        <f>IFERROR(__xludf.DUMMYFUNCTION("""COMPUTED_VALUE"""),"CNRRT91B54F052Z")</f>
        <v>CNRRT91B54F052Z</v>
      </c>
      <c r="M175">
        <f>IFERROR(__xludf.DUMMYFUNCTION("""COMPUTED_VALUE"""),4.0)</f>
        <v>4</v>
      </c>
      <c r="N175">
        <f>IFERROR(__xludf.DUMMYFUNCTION("""COMPUTED_VALUE"""),42509.0)</f>
        <v>42509</v>
      </c>
      <c r="O175" t="str">
        <f>IFERROR(__xludf.DUMMYFUNCTION("""COMPUTED_VALUE"""),"")</f>
        <v/>
      </c>
    </row>
    <row r="176">
      <c r="A176">
        <f>IFERROR(__xludf.DUMMYFUNCTION("""COMPUTED_VALUE"""),40.6642945708791)</f>
        <v>40.66429457</v>
      </c>
      <c r="B176">
        <f>IFERROR(__xludf.DUMMYFUNCTION("""COMPUTED_VALUE"""),16.6101555342741)</f>
        <v>16.61015553</v>
      </c>
      <c r="C176" t="str">
        <f>IFERROR(__xludf.DUMMYFUNCTION("""COMPUTED_VALUE"""),"Casa Vacanza")</f>
        <v>Casa Vacanza</v>
      </c>
      <c r="D176" t="str">
        <f>IFERROR(__xludf.DUMMYFUNCTION("""COMPUTED_VALUE"""),"IL CRICCHIO NEI SASSI")</f>
        <v>IL CRICCHIO NEI SASSI</v>
      </c>
      <c r="E176" t="str">
        <f>IFERROR(__xludf.DUMMYFUNCTION("""COMPUTED_VALUE"""),"PERAGGINE SILVIA")</f>
        <v>PERAGGINE SILVIA</v>
      </c>
      <c r="F176" t="str">
        <f>IFERROR(__xludf.DUMMYFUNCTION("""COMPUTED_VALUE"""),"VIA SINNI 14")</f>
        <v>VIA SINNI 14</v>
      </c>
      <c r="G176" t="str">
        <f>IFERROR(__xludf.DUMMYFUNCTION("""COMPUTED_VALUE"""),"Matera")</f>
        <v>Matera</v>
      </c>
      <c r="H176" t="str">
        <f>IFERROR(__xludf.DUMMYFUNCTION("""COMPUTED_VALUE"""),"Italy")</f>
        <v>Italy</v>
      </c>
      <c r="I176">
        <f>IFERROR(__xludf.DUMMYFUNCTION("""COMPUTED_VALUE"""),1825.0)</f>
        <v>1825</v>
      </c>
      <c r="J176">
        <f>IFERROR(__xludf.DUMMYFUNCTION("""COMPUTED_VALUE"""),4.0)</f>
        <v>4</v>
      </c>
      <c r="K176">
        <f>IFERROR(__xludf.DUMMYFUNCTION("""COMPUTED_VALUE"""),159.0)</f>
        <v>159</v>
      </c>
      <c r="L176" t="str">
        <f>IFERROR(__xludf.DUMMYFUNCTION("""COMPUTED_VALUE"""),"PRGSLV92B54F052B")</f>
        <v>PRGSLV92B54F052B</v>
      </c>
      <c r="M176">
        <f>IFERROR(__xludf.DUMMYFUNCTION("""COMPUTED_VALUE"""),4.0)</f>
        <v>4</v>
      </c>
      <c r="N176">
        <f>IFERROR(__xludf.DUMMYFUNCTION("""COMPUTED_VALUE"""),42296.0)</f>
        <v>42296</v>
      </c>
      <c r="O176" t="str">
        <f>IFERROR(__xludf.DUMMYFUNCTION("""COMPUTED_VALUE"""),"")</f>
        <v/>
      </c>
    </row>
    <row r="177">
      <c r="A177">
        <f>IFERROR(__xludf.DUMMYFUNCTION("""COMPUTED_VALUE"""),40.6657398)</f>
        <v>40.6657398</v>
      </c>
      <c r="B177">
        <f>IFERROR(__xludf.DUMMYFUNCTION("""COMPUTED_VALUE"""),16.6115226)</f>
        <v>16.6115226</v>
      </c>
      <c r="C177" t="str">
        <f>IFERROR(__xludf.DUMMYFUNCTION("""COMPUTED_VALUE"""),"Casa Vacanza")</f>
        <v>Casa Vacanza</v>
      </c>
      <c r="D177" t="str">
        <f>IFERROR(__xludf.DUMMYFUNCTION("""COMPUTED_VALUE"""),"IL FIORE DEI SASSI")</f>
        <v>IL FIORE DEI SASSI</v>
      </c>
      <c r="E177" t="str">
        <f>IFERROR(__xludf.DUMMYFUNCTION("""COMPUTED_VALUE"""),"MARIA ROSARIA FIORE")</f>
        <v>MARIA ROSARIA FIORE</v>
      </c>
      <c r="F177" t="str">
        <f>IFERROR(__xludf.DUMMYFUNCTION("""COMPUTED_VALUE"""),"VICO SANTO STEFANO 94")</f>
        <v>VICO SANTO STEFANO 94</v>
      </c>
      <c r="G177" t="str">
        <f>IFERROR(__xludf.DUMMYFUNCTION("""COMPUTED_VALUE"""),"Matera")</f>
        <v>Matera</v>
      </c>
      <c r="H177" t="str">
        <f>IFERROR(__xludf.DUMMYFUNCTION("""COMPUTED_VALUE"""),"Italy")</f>
        <v>Italy</v>
      </c>
      <c r="I177">
        <f>IFERROR(__xludf.DUMMYFUNCTION("""COMPUTED_VALUE"""),155.0)</f>
        <v>155</v>
      </c>
      <c r="J177">
        <f>IFERROR(__xludf.DUMMYFUNCTION("""COMPUTED_VALUE"""),3.0)</f>
        <v>3</v>
      </c>
      <c r="K177">
        <f>IFERROR(__xludf.DUMMYFUNCTION("""COMPUTED_VALUE"""),72.0)</f>
        <v>72</v>
      </c>
      <c r="L177" t="str">
        <f>IFERROR(__xludf.DUMMYFUNCTION("""COMPUTED_VALUE"""),"FRIMRS56C56F052R")</f>
        <v>FRIMRS56C56F052R</v>
      </c>
      <c r="M177">
        <f>IFERROR(__xludf.DUMMYFUNCTION("""COMPUTED_VALUE"""),4.0)</f>
        <v>4</v>
      </c>
      <c r="N177">
        <f>IFERROR(__xludf.DUMMYFUNCTION("""COMPUTED_VALUE"""),42727.0)</f>
        <v>42727</v>
      </c>
      <c r="O177" t="str">
        <f>IFERROR(__xludf.DUMMYFUNCTION("""COMPUTED_VALUE"""),"")</f>
        <v/>
      </c>
    </row>
    <row r="178">
      <c r="A178">
        <f>IFERROR(__xludf.DUMMYFUNCTION("""COMPUTED_VALUE"""),40.666178)</f>
        <v>40.666178</v>
      </c>
      <c r="B178">
        <f>IFERROR(__xludf.DUMMYFUNCTION("""COMPUTED_VALUE"""),16.6109311)</f>
        <v>16.6109311</v>
      </c>
      <c r="C178" t="str">
        <f>IFERROR(__xludf.DUMMYFUNCTION("""COMPUTED_VALUE"""),"Casa Vacanza")</f>
        <v>Casa Vacanza</v>
      </c>
      <c r="D178" t="str">
        <f>IFERROR(__xludf.DUMMYFUNCTION("""COMPUTED_VALUE"""),"IL FOLLIA CASA VACANZA")</f>
        <v>IL FOLLIA CASA VACANZA</v>
      </c>
      <c r="E178" t="str">
        <f>IFERROR(__xludf.DUMMYFUNCTION("""COMPUTED_VALUE"""),"GAMBETTA NUNZIA")</f>
        <v>GAMBETTA NUNZIA</v>
      </c>
      <c r="F178" t="str">
        <f>IFERROR(__xludf.DUMMYFUNCTION("""COMPUTED_VALUE"""),"CASTELVECCHIO 5")</f>
        <v>CASTELVECCHIO 5</v>
      </c>
      <c r="G178" t="str">
        <f>IFERROR(__xludf.DUMMYFUNCTION("""COMPUTED_VALUE"""),"Matera")</f>
        <v>Matera</v>
      </c>
      <c r="H178" t="str">
        <f>IFERROR(__xludf.DUMMYFUNCTION("""COMPUTED_VALUE"""),"Italy")</f>
        <v>Italy</v>
      </c>
      <c r="I178">
        <f>IFERROR(__xludf.DUMMYFUNCTION("""COMPUTED_VALUE"""),1523.0)</f>
        <v>1523</v>
      </c>
      <c r="J178">
        <f>IFERROR(__xludf.DUMMYFUNCTION("""COMPUTED_VALUE"""),2.0)</f>
        <v>2</v>
      </c>
      <c r="K178">
        <f>IFERROR(__xludf.DUMMYFUNCTION("""COMPUTED_VALUE"""),159.0)</f>
        <v>159</v>
      </c>
      <c r="L178" t="str">
        <f>IFERROR(__xludf.DUMMYFUNCTION("""COMPUTED_VALUE"""),"GMBNNZ83H69F052L")</f>
        <v>GMBNNZ83H69F052L</v>
      </c>
      <c r="M178">
        <f>IFERROR(__xludf.DUMMYFUNCTION("""COMPUTED_VALUE"""),4.0)</f>
        <v>4</v>
      </c>
      <c r="N178">
        <f>IFERROR(__xludf.DUMMYFUNCTION("""COMPUTED_VALUE"""),42450.0)</f>
        <v>42450</v>
      </c>
      <c r="O178" t="str">
        <f>IFERROR(__xludf.DUMMYFUNCTION("""COMPUTED_VALUE"""),"")</f>
        <v/>
      </c>
    </row>
    <row r="179">
      <c r="A179">
        <f>IFERROR(__xludf.DUMMYFUNCTION("""COMPUTED_VALUE"""),40.6631174952466)</f>
        <v>40.6631175</v>
      </c>
      <c r="B179">
        <f>IFERROR(__xludf.DUMMYFUNCTION("""COMPUTED_VALUE"""),16.610905823611)</f>
        <v>16.61090582</v>
      </c>
      <c r="C179" t="str">
        <f>IFERROR(__xludf.DUMMYFUNCTION("""COMPUTED_VALUE"""),"Casa Vacanza")</f>
        <v>Casa Vacanza</v>
      </c>
      <c r="D179" t="str">
        <f>IFERROR(__xludf.DUMMYFUNCTION("""COMPUTED_VALUE"""),"IL FONTANINO")</f>
        <v>IL FONTANINO</v>
      </c>
      <c r="E179" t="str">
        <f>IFERROR(__xludf.DUMMYFUNCTION("""COMPUTED_VALUE"""),"FACCIA DOMENICO R.")</f>
        <v>FACCIA DOMENICO R.</v>
      </c>
      <c r="F179" t="str">
        <f>IFERROR(__xludf.DUMMYFUNCTION("""COMPUTED_VALUE"""),"REC.RIDOLA 1E 2 B")</f>
        <v>REC.RIDOLA 1E 2 B</v>
      </c>
      <c r="G179" t="str">
        <f>IFERROR(__xludf.DUMMYFUNCTION("""COMPUTED_VALUE"""),"Matera")</f>
        <v>Matera</v>
      </c>
      <c r="H179" t="str">
        <f>IFERROR(__xludf.DUMMYFUNCTION("""COMPUTED_VALUE"""),"Italy")</f>
        <v>Italy</v>
      </c>
      <c r="I179">
        <f>IFERROR(__xludf.DUMMYFUNCTION("""COMPUTED_VALUE"""),2010.0)</f>
        <v>2010</v>
      </c>
      <c r="J179">
        <f>IFERROR(__xludf.DUMMYFUNCTION("""COMPUTED_VALUE"""),1.0)</f>
        <v>1</v>
      </c>
      <c r="K179">
        <f>IFERROR(__xludf.DUMMYFUNCTION("""COMPUTED_VALUE"""),159.0)</f>
        <v>159</v>
      </c>
      <c r="L179" t="str">
        <f>IFERROR(__xludf.DUMMYFUNCTION("""COMPUTED_VALUE"""),"FCCDNC47H21F052S")</f>
        <v>FCCDNC47H21F052S</v>
      </c>
      <c r="M179">
        <f>IFERROR(__xludf.DUMMYFUNCTION("""COMPUTED_VALUE"""),4.0)</f>
        <v>4</v>
      </c>
      <c r="N179">
        <f>IFERROR(__xludf.DUMMYFUNCTION("""COMPUTED_VALUE"""),42258.0)</f>
        <v>42258</v>
      </c>
      <c r="O179" t="str">
        <f>IFERROR(__xludf.DUMMYFUNCTION("""COMPUTED_VALUE"""),"")</f>
        <v/>
      </c>
    </row>
    <row r="180">
      <c r="A180">
        <f>IFERROR(__xludf.DUMMYFUNCTION("""COMPUTED_VALUE"""),40.6744738)</f>
        <v>40.6744738</v>
      </c>
      <c r="B180">
        <f>IFERROR(__xludf.DUMMYFUNCTION("""COMPUTED_VALUE"""),16.6017041)</f>
        <v>16.6017041</v>
      </c>
      <c r="C180" t="str">
        <f>IFERROR(__xludf.DUMMYFUNCTION("""COMPUTED_VALUE"""),"Casa Vacanza")</f>
        <v>Casa Vacanza</v>
      </c>
      <c r="D180" t="str">
        <f>IFERROR(__xludf.DUMMYFUNCTION("""COMPUTED_VALUE"""),"IL GIACINTO ALLEGRO")</f>
        <v>IL GIACINTO ALLEGRO</v>
      </c>
      <c r="E180" t="str">
        <f>IFERROR(__xludf.DUMMYFUNCTION("""COMPUTED_VALUE"""),"FAVILLI ANNA MARIA")</f>
        <v>FAVILLI ANNA MARIA</v>
      </c>
      <c r="F180" t="str">
        <f>IFERROR(__xludf.DUMMYFUNCTION("""COMPUTED_VALUE"""),"VIA UMBRIA 6")</f>
        <v>VIA UMBRIA 6</v>
      </c>
      <c r="G180" t="str">
        <f>IFERROR(__xludf.DUMMYFUNCTION("""COMPUTED_VALUE"""),"Matera")</f>
        <v>Matera</v>
      </c>
      <c r="H180" t="str">
        <f>IFERROR(__xludf.DUMMYFUNCTION("""COMPUTED_VALUE"""),"Italy")</f>
        <v>Italy</v>
      </c>
      <c r="I180">
        <f>IFERROR(__xludf.DUMMYFUNCTION("""COMPUTED_VALUE"""),4845.0)</f>
        <v>4845</v>
      </c>
      <c r="J180">
        <f>IFERROR(__xludf.DUMMYFUNCTION("""COMPUTED_VALUE"""),16.0)</f>
        <v>16</v>
      </c>
      <c r="K180">
        <f>IFERROR(__xludf.DUMMYFUNCTION("""COMPUTED_VALUE"""),159.0)</f>
        <v>159</v>
      </c>
      <c r="L180" t="str">
        <f>IFERROR(__xludf.DUMMYFUNCTION("""COMPUTED_VALUE"""),"FVLNMR58D58A6621")</f>
        <v>FVLNMR58D58A6621</v>
      </c>
      <c r="M180">
        <f>IFERROR(__xludf.DUMMYFUNCTION("""COMPUTED_VALUE"""),6.0)</f>
        <v>6</v>
      </c>
      <c r="N180">
        <f>IFERROR(__xludf.DUMMYFUNCTION("""COMPUTED_VALUE"""),42509.0)</f>
        <v>42509</v>
      </c>
      <c r="O180" t="str">
        <f>IFERROR(__xludf.DUMMYFUNCTION("""COMPUTED_VALUE"""),"")</f>
        <v/>
      </c>
    </row>
    <row r="181">
      <c r="A181">
        <f>IFERROR(__xludf.DUMMYFUNCTION("""COMPUTED_VALUE"""),40.6625034776338)</f>
        <v>40.66250348</v>
      </c>
      <c r="B181">
        <f>IFERROR(__xludf.DUMMYFUNCTION("""COMPUTED_VALUE"""),16.6068933993461)</f>
        <v>16.6068934</v>
      </c>
      <c r="C181" t="str">
        <f>IFERROR(__xludf.DUMMYFUNCTION("""COMPUTED_VALUE"""),"Casa Vacanza")</f>
        <v>Casa Vacanza</v>
      </c>
      <c r="D181" t="str">
        <f>IFERROR(__xludf.DUMMYFUNCTION("""COMPUTED_VALUE"""),"IL GIARDINETTO")</f>
        <v>IL GIARDINETTO</v>
      </c>
      <c r="E181" t="str">
        <f>IFERROR(__xludf.DUMMYFUNCTION("""COMPUTED_VALUE"""),"MOTTA VINCENZO")</f>
        <v>MOTTA VINCENZO</v>
      </c>
      <c r="F181" t="str">
        <f>IFERROR(__xludf.DUMMYFUNCTION("""COMPUTED_VALUE"""),"VIA ANDREA SERRAO 18")</f>
        <v>VIA ANDREA SERRAO 18</v>
      </c>
      <c r="G181" t="str">
        <f>IFERROR(__xludf.DUMMYFUNCTION("""COMPUTED_VALUE"""),"Matera")</f>
        <v>Matera</v>
      </c>
      <c r="H181" t="str">
        <f>IFERROR(__xludf.DUMMYFUNCTION("""COMPUTED_VALUE"""),"Italy")</f>
        <v>Italy</v>
      </c>
      <c r="I181">
        <f>IFERROR(__xludf.DUMMYFUNCTION("""COMPUTED_VALUE"""),188.0)</f>
        <v>188</v>
      </c>
      <c r="J181">
        <f>IFERROR(__xludf.DUMMYFUNCTION("""COMPUTED_VALUE"""),5.0)</f>
        <v>5</v>
      </c>
      <c r="K181">
        <f>IFERROR(__xludf.DUMMYFUNCTION("""COMPUTED_VALUE"""),103.0)</f>
        <v>103</v>
      </c>
      <c r="L181" t="str">
        <f>IFERROR(__xludf.DUMMYFUNCTION("""COMPUTED_VALUE"""),"MTTVCN73M11F052P")</f>
        <v>MTTVCN73M11F052P</v>
      </c>
      <c r="M181">
        <f>IFERROR(__xludf.DUMMYFUNCTION("""COMPUTED_VALUE"""),4.0)</f>
        <v>4</v>
      </c>
      <c r="N181">
        <f>IFERROR(__xludf.DUMMYFUNCTION("""COMPUTED_VALUE"""),42905.0)</f>
        <v>42905</v>
      </c>
      <c r="O181">
        <f>IFERROR(__xludf.DUMMYFUNCTION("""COMPUTED_VALUE"""),1217.0)</f>
        <v>1217</v>
      </c>
    </row>
    <row r="182">
      <c r="A182">
        <f>IFERROR(__xludf.DUMMYFUNCTION("""COMPUTED_VALUE"""),40.6772986)</f>
        <v>40.6772986</v>
      </c>
      <c r="B182">
        <f>IFERROR(__xludf.DUMMYFUNCTION("""COMPUTED_VALUE"""),16.5951402)</f>
        <v>16.5951402</v>
      </c>
      <c r="C182" t="str">
        <f>IFERROR(__xludf.DUMMYFUNCTION("""COMPUTED_VALUE"""),"Casa Vacanza")</f>
        <v>Casa Vacanza</v>
      </c>
      <c r="D182" t="str">
        <f>IFERROR(__xludf.DUMMYFUNCTION("""COMPUTED_VALUE"""),"IL GIARDINO SEGRETO")</f>
        <v>IL GIARDINO SEGRETO</v>
      </c>
      <c r="E182" t="str">
        <f>IFERROR(__xludf.DUMMYFUNCTION("""COMPUTED_VALUE"""),"IOZZI FILOMENA GIOVANNA")</f>
        <v>IOZZI FILOMENA GIOVANNA</v>
      </c>
      <c r="F182" t="str">
        <f>IFERROR(__xludf.DUMMYFUNCTION("""COMPUTED_VALUE"""),"VICO SAN LEONARDO 12")</f>
        <v>VICO SAN LEONARDO 12</v>
      </c>
      <c r="G182" t="str">
        <f>IFERROR(__xludf.DUMMYFUNCTION("""COMPUTED_VALUE"""),"Matera")</f>
        <v>Matera</v>
      </c>
      <c r="H182" t="str">
        <f>IFERROR(__xludf.DUMMYFUNCTION("""COMPUTED_VALUE"""),"Italy")</f>
        <v>Italy</v>
      </c>
      <c r="I182">
        <f>IFERROR(__xludf.DUMMYFUNCTION("""COMPUTED_VALUE"""),2280.0)</f>
        <v>2280</v>
      </c>
      <c r="J182">
        <f>IFERROR(__xludf.DUMMYFUNCTION("""COMPUTED_VALUE"""),3.0)</f>
        <v>3</v>
      </c>
      <c r="K182">
        <f>IFERROR(__xludf.DUMMYFUNCTION("""COMPUTED_VALUE"""),159.0)</f>
        <v>159</v>
      </c>
      <c r="L182" t="str">
        <f>IFERROR(__xludf.DUMMYFUNCTION("""COMPUTED_VALUE"""),"ZZIFMN63S70A662L")</f>
        <v>ZZIFMN63S70A662L</v>
      </c>
      <c r="M182">
        <f>IFERROR(__xludf.DUMMYFUNCTION("""COMPUTED_VALUE"""),2.0)</f>
        <v>2</v>
      </c>
      <c r="N182">
        <f>IFERROR(__xludf.DUMMYFUNCTION("""COMPUTED_VALUE"""),42695.0)</f>
        <v>42695</v>
      </c>
      <c r="O182">
        <f>IFERROR(__xludf.DUMMYFUNCTION("""COMPUTED_VALUE"""),1137.0)</f>
        <v>1137</v>
      </c>
    </row>
    <row r="183">
      <c r="A183">
        <f>IFERROR(__xludf.DUMMYFUNCTION("""COMPUTED_VALUE"""),40.6690616995097)</f>
        <v>40.6690617</v>
      </c>
      <c r="B183">
        <f>IFERROR(__xludf.DUMMYFUNCTION("""COMPUTED_VALUE"""),16.6058932263482)</f>
        <v>16.60589323</v>
      </c>
      <c r="C183" t="str">
        <f>IFERROR(__xludf.DUMMYFUNCTION("""COMPUTED_VALUE"""),"Casa Vacanza")</f>
        <v>Casa Vacanza</v>
      </c>
      <c r="D183" t="str">
        <f>IFERROR(__xludf.DUMMYFUNCTION("""COMPUTED_VALUE"""),"IL GIGLIO")</f>
        <v>IL GIGLIO</v>
      </c>
      <c r="E183" t="str">
        <f>IFERROR(__xludf.DUMMYFUNCTION("""COMPUTED_VALUE"""),"GIACINTA CICORELLI")</f>
        <v>GIACINTA CICORELLI</v>
      </c>
      <c r="F183" t="str">
        <f>IFERROR(__xludf.DUMMYFUNCTION("""COMPUTED_VALUE"""),"PIAZZA C. FIRRAO 19 PIANO TERRA")</f>
        <v>PIAZZA C. FIRRAO 19 PIANO TERRA</v>
      </c>
      <c r="G183" t="str">
        <f>IFERROR(__xludf.DUMMYFUNCTION("""COMPUTED_VALUE"""),"Matera")</f>
        <v>Matera</v>
      </c>
      <c r="H183" t="str">
        <f>IFERROR(__xludf.DUMMYFUNCTION("""COMPUTED_VALUE"""),"Italy")</f>
        <v>Italy</v>
      </c>
      <c r="I183">
        <f>IFERROR(__xludf.DUMMYFUNCTION("""COMPUTED_VALUE"""),3020.0)</f>
        <v>3020</v>
      </c>
      <c r="J183">
        <f>IFERROR(__xludf.DUMMYFUNCTION("""COMPUTED_VALUE"""),8.0)</f>
        <v>8</v>
      </c>
      <c r="K183">
        <f>IFERROR(__xludf.DUMMYFUNCTION("""COMPUTED_VALUE"""),159.0)</f>
        <v>159</v>
      </c>
      <c r="L183" t="str">
        <f>IFERROR(__xludf.DUMMYFUNCTION("""COMPUTED_VALUE"""),"CCRGNT52T57F052X")</f>
        <v>CCRGNT52T57F052X</v>
      </c>
      <c r="M183">
        <f>IFERROR(__xludf.DUMMYFUNCTION("""COMPUTED_VALUE"""),3.0)</f>
        <v>3</v>
      </c>
      <c r="N183">
        <f>IFERROR(__xludf.DUMMYFUNCTION("""COMPUTED_VALUE"""),42585.0)</f>
        <v>42585</v>
      </c>
      <c r="O183" t="str">
        <f>IFERROR(__xludf.DUMMYFUNCTION("""COMPUTED_VALUE"""),"")</f>
        <v/>
      </c>
    </row>
    <row r="184">
      <c r="A184">
        <f>IFERROR(__xludf.DUMMYFUNCTION("""COMPUTED_VALUE"""),40.6672354)</f>
        <v>40.6672354</v>
      </c>
      <c r="B184">
        <f>IFERROR(__xludf.DUMMYFUNCTION("""COMPUTED_VALUE"""),16.6036485)</f>
        <v>16.6036485</v>
      </c>
      <c r="C184" t="str">
        <f>IFERROR(__xludf.DUMMYFUNCTION("""COMPUTED_VALUE"""),"Casa Vacanza")</f>
        <v>Casa Vacanza</v>
      </c>
      <c r="D184" t="str">
        <f>IFERROR(__xludf.DUMMYFUNCTION("""COMPUTED_VALUE"""),"IL GIRASOLE")</f>
        <v>IL GIRASOLE</v>
      </c>
      <c r="E184" t="str">
        <f>IFERROR(__xludf.DUMMYFUNCTION("""COMPUTED_VALUE"""),"GIRARDI ANGELA")</f>
        <v>GIRARDI ANGELA</v>
      </c>
      <c r="F184" t="str">
        <f>IFERROR(__xludf.DUMMYFUNCTION("""COMPUTED_VALUE"""),"VIA ROMA 28")</f>
        <v>VIA ROMA 28</v>
      </c>
      <c r="G184" t="str">
        <f>IFERROR(__xludf.DUMMYFUNCTION("""COMPUTED_VALUE"""),"Matera")</f>
        <v>Matera</v>
      </c>
      <c r="H184" t="str">
        <f>IFERROR(__xludf.DUMMYFUNCTION("""COMPUTED_VALUE"""),"Italy")</f>
        <v>Italy</v>
      </c>
      <c r="I184">
        <f>IFERROR(__xludf.DUMMYFUNCTION("""COMPUTED_VALUE"""),3804.0)</f>
        <v>3804</v>
      </c>
      <c r="J184">
        <f>IFERROR(__xludf.DUMMYFUNCTION("""COMPUTED_VALUE"""),6.0)</f>
        <v>6</v>
      </c>
      <c r="K184">
        <f>IFERROR(__xludf.DUMMYFUNCTION("""COMPUTED_VALUE"""),159.0)</f>
        <v>159</v>
      </c>
      <c r="L184" t="str">
        <f>IFERROR(__xludf.DUMMYFUNCTION("""COMPUTED_VALUE"""),"GRRNGL75P47E038W")</f>
        <v>GRRNGL75P47E038W</v>
      </c>
      <c r="M184">
        <f>IFERROR(__xludf.DUMMYFUNCTION("""COMPUTED_VALUE"""),5.0)</f>
        <v>5</v>
      </c>
      <c r="N184">
        <f>IFERROR(__xludf.DUMMYFUNCTION("""COMPUTED_VALUE"""),42324.0)</f>
        <v>42324</v>
      </c>
      <c r="O184" t="str">
        <f>IFERROR(__xludf.DUMMYFUNCTION("""COMPUTED_VALUE"""),"")</f>
        <v/>
      </c>
    </row>
    <row r="185">
      <c r="A185">
        <f>IFERROR(__xludf.DUMMYFUNCTION("""COMPUTED_VALUE"""),40.666275)</f>
        <v>40.666275</v>
      </c>
      <c r="B185">
        <f>IFERROR(__xludf.DUMMYFUNCTION("""COMPUTED_VALUE"""),16.607058)</f>
        <v>16.607058</v>
      </c>
      <c r="C185" t="str">
        <f>IFERROR(__xludf.DUMMYFUNCTION("""COMPUTED_VALUE"""),"Casa Vacanza")</f>
        <v>Casa Vacanza</v>
      </c>
      <c r="D185" t="str">
        <f>IFERROR(__xludf.DUMMYFUNCTION("""COMPUTED_VALUE"""),"IL GUFO E LA PUPA")</f>
        <v>IL GUFO E LA PUPA</v>
      </c>
      <c r="E185" t="str">
        <f>IFERROR(__xludf.DUMMYFUNCTION("""COMPUTED_VALUE"""),"LUCIANO SARRA")</f>
        <v>LUCIANO SARRA</v>
      </c>
      <c r="F185" t="str">
        <f>IFERROR(__xludf.DUMMYFUNCTION("""COMPUTED_VALUE"""),"VICOLO SAN GIUSEPPE 21")</f>
        <v>VICOLO SAN GIUSEPPE 21</v>
      </c>
      <c r="G185" t="str">
        <f>IFERROR(__xludf.DUMMYFUNCTION("""COMPUTED_VALUE"""),"Matera")</f>
        <v>Matera</v>
      </c>
      <c r="H185" t="str">
        <f>IFERROR(__xludf.DUMMYFUNCTION("""COMPUTED_VALUE"""),"Italy")</f>
        <v>Italy</v>
      </c>
      <c r="I185">
        <f>IFERROR(__xludf.DUMMYFUNCTION("""COMPUTED_VALUE"""),665.0)</f>
        <v>665</v>
      </c>
      <c r="J185">
        <f>IFERROR(__xludf.DUMMYFUNCTION("""COMPUTED_VALUE"""),2.0)</f>
        <v>2</v>
      </c>
      <c r="K185">
        <f>IFERROR(__xludf.DUMMYFUNCTION("""COMPUTED_VALUE"""),159.0)</f>
        <v>159</v>
      </c>
      <c r="L185" t="str">
        <f>IFERROR(__xludf.DUMMYFUNCTION("""COMPUTED_VALUE"""),"SRRLCN72T19F052H")</f>
        <v>SRRLCN72T19F052H</v>
      </c>
      <c r="M185">
        <f>IFERROR(__xludf.DUMMYFUNCTION("""COMPUTED_VALUE"""),3.0)</f>
        <v>3</v>
      </c>
      <c r="N185">
        <f>IFERROR(__xludf.DUMMYFUNCTION("""COMPUTED_VALUE"""),42166.0)</f>
        <v>42166</v>
      </c>
      <c r="O185" t="str">
        <f>IFERROR(__xludf.DUMMYFUNCTION("""COMPUTED_VALUE"""),"")</f>
        <v/>
      </c>
    </row>
    <row r="186">
      <c r="A186">
        <f>IFERROR(__xludf.DUMMYFUNCTION("""COMPUTED_VALUE"""),40.665857843574)</f>
        <v>40.66585784</v>
      </c>
      <c r="B186">
        <f>IFERROR(__xludf.DUMMYFUNCTION("""COMPUTED_VALUE"""),16.6079426988031)</f>
        <v>16.6079427</v>
      </c>
      <c r="C186" t="str">
        <f>IFERROR(__xludf.DUMMYFUNCTION("""COMPUTED_VALUE"""),"Casa Vacanza")</f>
        <v>Casa Vacanza</v>
      </c>
      <c r="D186" t="str">
        <f>IFERROR(__xludf.DUMMYFUNCTION("""COMPUTED_VALUE"""),"IL MELOGRANO")</f>
        <v>IL MELOGRANO</v>
      </c>
      <c r="E186" t="str">
        <f>IFERROR(__xludf.DUMMYFUNCTION("""COMPUTED_VALUE"""),"MARTINO ANNA")</f>
        <v>MARTINO ANNA</v>
      </c>
      <c r="F186" t="str">
        <f>IFERROR(__xludf.DUMMYFUNCTION("""COMPUTED_VALUE"""),"VICO COMMERCIO 5")</f>
        <v>VICO COMMERCIO 5</v>
      </c>
      <c r="G186" t="str">
        <f>IFERROR(__xludf.DUMMYFUNCTION("""COMPUTED_VALUE"""),"Matera")</f>
        <v>Matera</v>
      </c>
      <c r="H186" t="str">
        <f>IFERROR(__xludf.DUMMYFUNCTION("""COMPUTED_VALUE"""),"Italy")</f>
        <v>Italy</v>
      </c>
      <c r="I186">
        <f>IFERROR(__xludf.DUMMYFUNCTION("""COMPUTED_VALUE"""),678.0)</f>
        <v>678</v>
      </c>
      <c r="J186">
        <f>IFERROR(__xludf.DUMMYFUNCTION("""COMPUTED_VALUE"""),24.0)</f>
        <v>24</v>
      </c>
      <c r="K186">
        <f>IFERROR(__xludf.DUMMYFUNCTION("""COMPUTED_VALUE"""),159.0)</f>
        <v>159</v>
      </c>
      <c r="L186" t="str">
        <f>IFERROR(__xludf.DUMMYFUNCTION("""COMPUTED_VALUE"""),"MRTNNA85L61F052C")</f>
        <v>MRTNNA85L61F052C</v>
      </c>
      <c r="M186">
        <f>IFERROR(__xludf.DUMMYFUNCTION("""COMPUTED_VALUE"""),10.0)</f>
        <v>10</v>
      </c>
      <c r="N186">
        <f>IFERROR(__xludf.DUMMYFUNCTION("""COMPUTED_VALUE"""),41019.0)</f>
        <v>41019</v>
      </c>
      <c r="O186" t="str">
        <f>IFERROR(__xludf.DUMMYFUNCTION("""COMPUTED_VALUE"""),"")</f>
        <v/>
      </c>
    </row>
    <row r="187">
      <c r="A187">
        <f>IFERROR(__xludf.DUMMYFUNCTION("""COMPUTED_VALUE"""),40.663979)</f>
        <v>40.663979</v>
      </c>
      <c r="B187">
        <f>IFERROR(__xludf.DUMMYFUNCTION("""COMPUTED_VALUE"""),16.534773)</f>
        <v>16.534773</v>
      </c>
      <c r="C187" t="str">
        <f>IFERROR(__xludf.DUMMYFUNCTION("""COMPUTED_VALUE"""),"Casa Vacanza")</f>
        <v>Casa Vacanza</v>
      </c>
      <c r="D187" t="str">
        <f>IFERROR(__xludf.DUMMYFUNCTION("""COMPUTED_VALUE"""),"IL MIRTO")</f>
        <v>IL MIRTO</v>
      </c>
      <c r="E187" t="str">
        <f>IFERROR(__xludf.DUMMYFUNCTION("""COMPUTED_VALUE"""),"ALESSANDRO BRUNO")</f>
        <v>ALESSANDRO BRUNO</v>
      </c>
      <c r="F187" t="str">
        <f>IFERROR(__xludf.DUMMYFUNCTION("""COMPUTED_VALUE"""),"VIA DONATELLO DONATO 15 A ")</f>
        <v>VIA DONATELLO DONATO 15 A </v>
      </c>
      <c r="G187" t="str">
        <f>IFERROR(__xludf.DUMMYFUNCTION("""COMPUTED_VALUE"""),"Matera")</f>
        <v>Matera</v>
      </c>
      <c r="H187" t="str">
        <f>IFERROR(__xludf.DUMMYFUNCTION("""COMPUTED_VALUE"""),"Italy")</f>
        <v>Italy</v>
      </c>
      <c r="I187" t="str">
        <f>IFERROR(__xludf.DUMMYFUNCTION("""COMPUTED_VALUE"""),"")</f>
        <v/>
      </c>
      <c r="J187" t="str">
        <f>IFERROR(__xludf.DUMMYFUNCTION("""COMPUTED_VALUE"""),"")</f>
        <v/>
      </c>
      <c r="K187" t="str">
        <f>IFERROR(__xludf.DUMMYFUNCTION("""COMPUTED_VALUE"""),"")</f>
        <v/>
      </c>
      <c r="L187" t="str">
        <f>IFERROR(__xludf.DUMMYFUNCTION("""COMPUTED_VALUE"""),"")</f>
        <v/>
      </c>
      <c r="M187" t="str">
        <f>IFERROR(__xludf.DUMMYFUNCTION("""COMPUTED_VALUE"""),"")</f>
        <v/>
      </c>
      <c r="N187" t="str">
        <f>IFERROR(__xludf.DUMMYFUNCTION("""COMPUTED_VALUE"""),"")</f>
        <v/>
      </c>
      <c r="O187" t="str">
        <f>IFERROR(__xludf.DUMMYFUNCTION("""COMPUTED_VALUE"""),"")</f>
        <v/>
      </c>
    </row>
    <row r="188">
      <c r="A188">
        <f>IFERROR(__xludf.DUMMYFUNCTION("""COMPUTED_VALUE"""),40.6627493)</f>
        <v>40.6627493</v>
      </c>
      <c r="B188">
        <f>IFERROR(__xludf.DUMMYFUNCTION("""COMPUTED_VALUE"""),16.6103562)</f>
        <v>16.6103562</v>
      </c>
      <c r="C188" t="str">
        <f>IFERROR(__xludf.DUMMYFUNCTION("""COMPUTED_VALUE"""),"Casa Vacanza")</f>
        <v>Casa Vacanza</v>
      </c>
      <c r="D188" t="str">
        <f>IFERROR(__xludf.DUMMYFUNCTION("""COMPUTED_VALUE"""),"IL MULINO A VENTO")</f>
        <v>IL MULINO A VENTO</v>
      </c>
      <c r="E188" t="str">
        <f>IFERROR(__xludf.DUMMYFUNCTION("""COMPUTED_VALUE"""),"MARCOSANO GIACINTA")</f>
        <v>MARCOSANO GIACINTA</v>
      </c>
      <c r="F188" t="str">
        <f>IFERROR(__xludf.DUMMYFUNCTION("""COMPUTED_VALUE"""),"VIA CASALNUOVO 201")</f>
        <v>VIA CASALNUOVO 201</v>
      </c>
      <c r="G188" t="str">
        <f>IFERROR(__xludf.DUMMYFUNCTION("""COMPUTED_VALUE"""),"Matera")</f>
        <v>Matera</v>
      </c>
      <c r="H188" t="str">
        <f>IFERROR(__xludf.DUMMYFUNCTION("""COMPUTED_VALUE"""),"Italy")</f>
        <v>Italy</v>
      </c>
      <c r="I188">
        <f>IFERROR(__xludf.DUMMYFUNCTION("""COMPUTED_VALUE"""),2535.0)</f>
        <v>2535</v>
      </c>
      <c r="J188">
        <f>IFERROR(__xludf.DUMMYFUNCTION("""COMPUTED_VALUE"""),2.0)</f>
        <v>2</v>
      </c>
      <c r="K188">
        <f>IFERROR(__xludf.DUMMYFUNCTION("""COMPUTED_VALUE"""),159.0)</f>
        <v>159</v>
      </c>
      <c r="L188" t="str">
        <f>IFERROR(__xludf.DUMMYFUNCTION("""COMPUTED_VALUE"""),"MRCGNT70L69F052T")</f>
        <v>MRCGNT70L69F052T</v>
      </c>
      <c r="M188">
        <f>IFERROR(__xludf.DUMMYFUNCTION("""COMPUTED_VALUE"""),4.0)</f>
        <v>4</v>
      </c>
      <c r="N188">
        <f>IFERROR(__xludf.DUMMYFUNCTION("""COMPUTED_VALUE"""),40679.0)</f>
        <v>40679</v>
      </c>
      <c r="O188" t="str">
        <f>IFERROR(__xludf.DUMMYFUNCTION("""COMPUTED_VALUE"""),"")</f>
        <v/>
      </c>
    </row>
    <row r="189">
      <c r="A189">
        <f>IFERROR(__xludf.DUMMYFUNCTION("""COMPUTED_VALUE"""),40.668147)</f>
        <v>40.668147</v>
      </c>
      <c r="B189">
        <f>IFERROR(__xludf.DUMMYFUNCTION("""COMPUTED_VALUE"""),16.609776)</f>
        <v>16.609776</v>
      </c>
      <c r="C189" t="str">
        <f>IFERROR(__xludf.DUMMYFUNCTION("""COMPUTED_VALUE"""),"Casa Vacanza")</f>
        <v>Casa Vacanza</v>
      </c>
      <c r="D189" t="str">
        <f>IFERROR(__xludf.DUMMYFUNCTION("""COMPUTED_VALUE"""),"IL NIDO NEI SASSI")</f>
        <v>IL NIDO NEI SASSI</v>
      </c>
      <c r="E189" t="str">
        <f>IFERROR(__xludf.DUMMYFUNCTION("""COMPUTED_VALUE"""),"FRANCESCA IANNUZZI")</f>
        <v>FRANCESCA IANNUZZI</v>
      </c>
      <c r="F189" t="str">
        <f>IFERROR(__xludf.DUMMYFUNCTION("""COMPUTED_VALUE"""),"VIA D'ADDOZIO 31")</f>
        <v>VIA D'ADDOZIO 31</v>
      </c>
      <c r="G189" t="str">
        <f>IFERROR(__xludf.DUMMYFUNCTION("""COMPUTED_VALUE"""),"Matera")</f>
        <v>Matera</v>
      </c>
      <c r="H189" t="str">
        <f>IFERROR(__xludf.DUMMYFUNCTION("""COMPUTED_VALUE"""),"Italy")</f>
        <v>Italy</v>
      </c>
      <c r="I189">
        <f>IFERROR(__xludf.DUMMYFUNCTION("""COMPUTED_VALUE"""),2804.0)</f>
        <v>2804</v>
      </c>
      <c r="J189">
        <f>IFERROR(__xludf.DUMMYFUNCTION("""COMPUTED_VALUE"""),6.0)</f>
        <v>6</v>
      </c>
      <c r="K189">
        <f>IFERROR(__xludf.DUMMYFUNCTION("""COMPUTED_VALUE"""),159.0)</f>
        <v>159</v>
      </c>
      <c r="L189" t="str">
        <f>IFERROR(__xludf.DUMMYFUNCTION("""COMPUTED_VALUE"""),"NNZFNC80S45F052R")</f>
        <v>NNZFNC80S45F052R</v>
      </c>
      <c r="M189">
        <f>IFERROR(__xludf.DUMMYFUNCTION("""COMPUTED_VALUE"""),4.0)</f>
        <v>4</v>
      </c>
      <c r="N189">
        <f>IFERROR(__xludf.DUMMYFUNCTION("""COMPUTED_VALUE"""),42549.0)</f>
        <v>42549</v>
      </c>
      <c r="O189" t="str">
        <f>IFERROR(__xludf.DUMMYFUNCTION("""COMPUTED_VALUE"""),"")</f>
        <v/>
      </c>
    </row>
    <row r="190">
      <c r="A190">
        <f>IFERROR(__xludf.DUMMYFUNCTION("""COMPUTED_VALUE"""),40.6663067882842)</f>
        <v>40.66630679</v>
      </c>
      <c r="B190">
        <f>IFERROR(__xludf.DUMMYFUNCTION("""COMPUTED_VALUE"""),16.6111085530469)</f>
        <v>16.61110855</v>
      </c>
      <c r="C190" t="str">
        <f>IFERROR(__xludf.DUMMYFUNCTION("""COMPUTED_VALUE"""),"Casa Vacanza")</f>
        <v>Casa Vacanza</v>
      </c>
      <c r="D190" t="str">
        <f>IFERROR(__xludf.DUMMYFUNCTION("""COMPUTED_VALUE"""),"IL NIDO SUL DUOMO")</f>
        <v>IL NIDO SUL DUOMO</v>
      </c>
      <c r="E190" t="str">
        <f>IFERROR(__xludf.DUMMYFUNCTION("""COMPUTED_VALUE"""),"ANDREA ACITO")</f>
        <v>ANDREA ACITO</v>
      </c>
      <c r="F190" t="str">
        <f>IFERROR(__xludf.DUMMYFUNCTION("""COMPUTED_VALUE"""),"S. CASTELVECCHIO 1")</f>
        <v>S. CASTELVECCHIO 1</v>
      </c>
      <c r="G190" t="str">
        <f>IFERROR(__xludf.DUMMYFUNCTION("""COMPUTED_VALUE"""),"Matera")</f>
        <v>Matera</v>
      </c>
      <c r="H190" t="str">
        <f>IFERROR(__xludf.DUMMYFUNCTION("""COMPUTED_VALUE"""),"Italy")</f>
        <v>Italy</v>
      </c>
      <c r="I190">
        <f>IFERROR(__xludf.DUMMYFUNCTION("""COMPUTED_VALUE"""),1532.0)</f>
        <v>1532</v>
      </c>
      <c r="J190">
        <f>IFERROR(__xludf.DUMMYFUNCTION("""COMPUTED_VALUE"""),3.0)</f>
        <v>3</v>
      </c>
      <c r="K190">
        <f>IFERROR(__xludf.DUMMYFUNCTION("""COMPUTED_VALUE"""),159.0)</f>
        <v>159</v>
      </c>
      <c r="L190" t="str">
        <f>IFERROR(__xludf.DUMMYFUNCTION("""COMPUTED_VALUE"""),"CTANDR73S16F052W")</f>
        <v>CTANDR73S16F052W</v>
      </c>
      <c r="M190">
        <f>IFERROR(__xludf.DUMMYFUNCTION("""COMPUTED_VALUE"""),5.0)</f>
        <v>5</v>
      </c>
      <c r="N190">
        <f>IFERROR(__xludf.DUMMYFUNCTION("""COMPUTED_VALUE"""),43046.0)</f>
        <v>43046</v>
      </c>
      <c r="O190" t="str">
        <f>IFERROR(__xludf.DUMMYFUNCTION("""COMPUTED_VALUE"""),"")</f>
        <v/>
      </c>
    </row>
    <row r="191">
      <c r="A191">
        <f>IFERROR(__xludf.DUMMYFUNCTION("""COMPUTED_VALUE"""),40.6510924)</f>
        <v>40.6510924</v>
      </c>
      <c r="B191">
        <f>IFERROR(__xludf.DUMMYFUNCTION("""COMPUTED_VALUE"""),16.6175924)</f>
        <v>16.6175924</v>
      </c>
      <c r="C191" t="str">
        <f>IFERROR(__xludf.DUMMYFUNCTION("""COMPUTED_VALUE"""),"Casa Vacanza")</f>
        <v>Casa Vacanza</v>
      </c>
      <c r="D191" t="str">
        <f>IFERROR(__xludf.DUMMYFUNCTION("""COMPUTED_VALUE"""),"IL PERGOLATO")</f>
        <v>IL PERGOLATO</v>
      </c>
      <c r="E191" t="str">
        <f>IFERROR(__xludf.DUMMYFUNCTION("""COMPUTED_VALUE"""),"RAFFAELLO MARTINO")</f>
        <v>RAFFAELLO MARTINO</v>
      </c>
      <c r="F191" t="str">
        <f>IFERROR(__xludf.DUMMYFUNCTION("""COMPUTED_VALUE"""),"VICO IV CAPPUCCINI 10")</f>
        <v>VICO IV CAPPUCCINI 10</v>
      </c>
      <c r="G191" t="str">
        <f>IFERROR(__xludf.DUMMYFUNCTION("""COMPUTED_VALUE"""),"Matera")</f>
        <v>Matera</v>
      </c>
      <c r="H191" t="str">
        <f>IFERROR(__xludf.DUMMYFUNCTION("""COMPUTED_VALUE"""),"Italy")</f>
        <v>Italy</v>
      </c>
      <c r="I191">
        <f>IFERROR(__xludf.DUMMYFUNCTION("""COMPUTED_VALUE"""),70.0)</f>
        <v>70</v>
      </c>
      <c r="J191">
        <f>IFERROR(__xludf.DUMMYFUNCTION("""COMPUTED_VALUE"""),3.0)</f>
        <v>3</v>
      </c>
      <c r="K191">
        <f>IFERROR(__xludf.DUMMYFUNCTION("""COMPUTED_VALUE"""),105.0)</f>
        <v>105</v>
      </c>
      <c r="L191" t="str">
        <f>IFERROR(__xludf.DUMMYFUNCTION("""COMPUTED_VALUE"""),"MRTRFL91T29F052J")</f>
        <v>MRTRFL91T29F052J</v>
      </c>
      <c r="M191">
        <f>IFERROR(__xludf.DUMMYFUNCTION("""COMPUTED_VALUE"""),3.0)</f>
        <v>3</v>
      </c>
      <c r="N191">
        <f>IFERROR(__xludf.DUMMYFUNCTION("""COMPUTED_VALUE"""),42530.0)</f>
        <v>42530</v>
      </c>
      <c r="O191" t="str">
        <f>IFERROR(__xludf.DUMMYFUNCTION("""COMPUTED_VALUE"""),"")</f>
        <v/>
      </c>
    </row>
    <row r="192">
      <c r="A192">
        <f>IFERROR(__xludf.DUMMYFUNCTION("""COMPUTED_VALUE"""),40.665315)</f>
        <v>40.665315</v>
      </c>
      <c r="B192">
        <f>IFERROR(__xludf.DUMMYFUNCTION("""COMPUTED_VALUE"""),16.6016844)</f>
        <v>16.6016844</v>
      </c>
      <c r="C192" t="str">
        <f>IFERROR(__xludf.DUMMYFUNCTION("""COMPUTED_VALUE"""),"Casa Vacanza")</f>
        <v>Casa Vacanza</v>
      </c>
      <c r="D192" t="str">
        <f>IFERROR(__xludf.DUMMYFUNCTION("""COMPUTED_VALUE"""),"IL PRIORE HOLLIDAY HOME")</f>
        <v>IL PRIORE HOLLIDAY HOME</v>
      </c>
      <c r="E192" t="str">
        <f>IFERROR(__xludf.DUMMYFUNCTION("""COMPUTED_VALUE"""),"MARIA ROSARIA PISCIOTTA")</f>
        <v>MARIA ROSARIA PISCIOTTA</v>
      </c>
      <c r="F192" t="str">
        <f>IFERROR(__xludf.DUMMYFUNCTION("""COMPUTED_VALUE"""),"VIA CAPPELLUTI 63")</f>
        <v>VIA CAPPELLUTI 63</v>
      </c>
      <c r="G192" t="str">
        <f>IFERROR(__xludf.DUMMYFUNCTION("""COMPUTED_VALUE"""),"Matera")</f>
        <v>Matera</v>
      </c>
      <c r="H192" t="str">
        <f>IFERROR(__xludf.DUMMYFUNCTION("""COMPUTED_VALUE"""),"Italy")</f>
        <v>Italy</v>
      </c>
      <c r="I192">
        <f>IFERROR(__xludf.DUMMYFUNCTION("""COMPUTED_VALUE"""),448.0)</f>
        <v>448</v>
      </c>
      <c r="J192">
        <f>IFERROR(__xludf.DUMMYFUNCTION("""COMPUTED_VALUE"""),17.0)</f>
        <v>17</v>
      </c>
      <c r="K192">
        <f>IFERROR(__xludf.DUMMYFUNCTION("""COMPUTED_VALUE"""),71.0)</f>
        <v>71</v>
      </c>
      <c r="L192" t="str">
        <f>IFERROR(__xludf.DUMMYFUNCTION("""COMPUTED_VALUE"""),"PSCMRS87R47A662P")</f>
        <v>PSCMRS87R47A662P</v>
      </c>
      <c r="M192">
        <f>IFERROR(__xludf.DUMMYFUNCTION("""COMPUTED_VALUE"""),2.0)</f>
        <v>2</v>
      </c>
      <c r="N192">
        <f>IFERROR(__xludf.DUMMYFUNCTION("""COMPUTED_VALUE"""),42508.0)</f>
        <v>42508</v>
      </c>
      <c r="O192" t="str">
        <f>IFERROR(__xludf.DUMMYFUNCTION("""COMPUTED_VALUE"""),"")</f>
        <v/>
      </c>
    </row>
    <row r="193">
      <c r="A193">
        <f>IFERROR(__xludf.DUMMYFUNCTION("""COMPUTED_VALUE"""),40.6588190061965)</f>
        <v>40.65881901</v>
      </c>
      <c r="B193">
        <f>IFERROR(__xludf.DUMMYFUNCTION("""COMPUTED_VALUE"""),16.6031383419192)</f>
        <v>16.60313834</v>
      </c>
      <c r="C193" t="str">
        <f>IFERROR(__xludf.DUMMYFUNCTION("""COMPUTED_VALUE"""),"Casa Vacanza")</f>
        <v>Casa Vacanza</v>
      </c>
      <c r="D193" t="str">
        <f>IFERROR(__xludf.DUMMYFUNCTION("""COMPUTED_VALUE"""),"IL PUZZLE")</f>
        <v>IL PUZZLE</v>
      </c>
      <c r="E193" t="str">
        <f>IFERROR(__xludf.DUMMYFUNCTION("""COMPUTED_VALUE"""),"SOC.COOP.IL PUZZLE ")</f>
        <v>SOC.COOP.IL PUZZLE </v>
      </c>
      <c r="F193" t="str">
        <f>IFERROR(__xludf.DUMMYFUNCTION("""COMPUTED_VALUE"""),"VIA DEL TULIPANO 10")</f>
        <v>VIA DEL TULIPANO 10</v>
      </c>
      <c r="G193" t="str">
        <f>IFERROR(__xludf.DUMMYFUNCTION("""COMPUTED_VALUE"""),"Matera")</f>
        <v>Matera</v>
      </c>
      <c r="H193" t="str">
        <f>IFERROR(__xludf.DUMMYFUNCTION("""COMPUTED_VALUE"""),"Italy")</f>
        <v>Italy</v>
      </c>
      <c r="I193">
        <f>IFERROR(__xludf.DUMMYFUNCTION("""COMPUTED_VALUE"""),314.0)</f>
        <v>314</v>
      </c>
      <c r="J193">
        <f>IFERROR(__xludf.DUMMYFUNCTION("""COMPUTED_VALUE"""),3.0)</f>
        <v>3</v>
      </c>
      <c r="K193">
        <f>IFERROR(__xludf.DUMMYFUNCTION("""COMPUTED_VALUE"""),101.0)</f>
        <v>101</v>
      </c>
      <c r="L193">
        <f>IFERROR(__xludf.DUMMYFUNCTION("""COMPUTED_VALUE"""),7.05820777E8)</f>
        <v>705820777</v>
      </c>
      <c r="M193">
        <f>IFERROR(__xludf.DUMMYFUNCTION("""COMPUTED_VALUE"""),8.0)</f>
        <v>8</v>
      </c>
      <c r="N193">
        <f>IFERROR(__xludf.DUMMYFUNCTION("""COMPUTED_VALUE"""),42573.0)</f>
        <v>42573</v>
      </c>
      <c r="O193" t="str">
        <f>IFERROR(__xludf.DUMMYFUNCTION("""COMPUTED_VALUE"""),"")</f>
        <v/>
      </c>
    </row>
    <row r="194">
      <c r="A194">
        <f>IFERROR(__xludf.DUMMYFUNCTION("""COMPUTED_VALUE"""),40.6440992)</f>
        <v>40.6440992</v>
      </c>
      <c r="B194">
        <f>IFERROR(__xludf.DUMMYFUNCTION("""COMPUTED_VALUE"""),16.6225127)</f>
        <v>16.6225127</v>
      </c>
      <c r="C194" t="str">
        <f>IFERROR(__xludf.DUMMYFUNCTION("""COMPUTED_VALUE"""),"Casa Vacanza")</f>
        <v>Casa Vacanza</v>
      </c>
      <c r="D194" t="str">
        <f>IFERROR(__xludf.DUMMYFUNCTION("""COMPUTED_VALUE"""),"IL RECINTO DEI SASSI")</f>
        <v>IL RECINTO DEI SASSI</v>
      </c>
      <c r="E194" t="str">
        <f>IFERROR(__xludf.DUMMYFUNCTION("""COMPUTED_VALUE"""),"CIANNELLA ROSSELLA")</f>
        <v>CIANNELLA ROSSELLA</v>
      </c>
      <c r="F194" t="str">
        <f>IFERROR(__xludf.DUMMYFUNCTION("""COMPUTED_VALUE"""),"RECINTO COLUMELLA 6")</f>
        <v>RECINTO COLUMELLA 6</v>
      </c>
      <c r="G194" t="str">
        <f>IFERROR(__xludf.DUMMYFUNCTION("""COMPUTED_VALUE"""),"Matera")</f>
        <v>Matera</v>
      </c>
      <c r="H194" t="str">
        <f>IFERROR(__xludf.DUMMYFUNCTION("""COMPUTED_VALUE"""),"Italy")</f>
        <v>Italy</v>
      </c>
      <c r="I194" t="str">
        <f>IFERROR(__xludf.DUMMYFUNCTION("""COMPUTED_VALUE"""),"")</f>
        <v/>
      </c>
      <c r="J194" t="str">
        <f>IFERROR(__xludf.DUMMYFUNCTION("""COMPUTED_VALUE"""),"")</f>
        <v/>
      </c>
      <c r="K194" t="str">
        <f>IFERROR(__xludf.DUMMYFUNCTION("""COMPUTED_VALUE"""),"")</f>
        <v/>
      </c>
      <c r="L194" t="str">
        <f>IFERROR(__xludf.DUMMYFUNCTION("""COMPUTED_VALUE"""),"CNNRSL75P52C134X")</f>
        <v>CNNRSL75P52C134X</v>
      </c>
      <c r="M194">
        <f>IFERROR(__xludf.DUMMYFUNCTION("""COMPUTED_VALUE"""),4.0)</f>
        <v>4</v>
      </c>
      <c r="N194">
        <f>IFERROR(__xludf.DUMMYFUNCTION("""COMPUTED_VALUE"""),42367.0)</f>
        <v>42367</v>
      </c>
      <c r="O194" t="str">
        <f>IFERROR(__xludf.DUMMYFUNCTION("""COMPUTED_VALUE"""),"")</f>
        <v/>
      </c>
    </row>
    <row r="195">
      <c r="A195">
        <f>IFERROR(__xludf.DUMMYFUNCTION("""COMPUTED_VALUE"""),40.6618267014836)</f>
        <v>40.6618267</v>
      </c>
      <c r="B195">
        <f>IFERROR(__xludf.DUMMYFUNCTION("""COMPUTED_VALUE"""),16.6111754949414)</f>
        <v>16.61117549</v>
      </c>
      <c r="C195" t="str">
        <f>IFERROR(__xludf.DUMMYFUNCTION("""COMPUTED_VALUE"""),"Casa Vacanza")</f>
        <v>Casa Vacanza</v>
      </c>
      <c r="D195" t="str">
        <f>IFERROR(__xludf.DUMMYFUNCTION("""COMPUTED_VALUE"""),"IL RESPIRO NEI SASSI")</f>
        <v>IL RESPIRO NEI SASSI</v>
      </c>
      <c r="E195" t="str">
        <f>IFERROR(__xludf.DUMMYFUNCTION("""COMPUTED_VALUE"""),"DANIELA ARMAIUOLI")</f>
        <v>DANIELA ARMAIUOLI</v>
      </c>
      <c r="F195" t="str">
        <f>IFERROR(__xludf.DUMMYFUNCTION("""COMPUTED_VALUE"""),"VIA CASALNUOVO 73")</f>
        <v>VIA CASALNUOVO 73</v>
      </c>
      <c r="G195" t="str">
        <f>IFERROR(__xludf.DUMMYFUNCTION("""COMPUTED_VALUE"""),"Matera")</f>
        <v>Matera</v>
      </c>
      <c r="H195" t="str">
        <f>IFERROR(__xludf.DUMMYFUNCTION("""COMPUTED_VALUE"""),"Italy")</f>
        <v>Italy</v>
      </c>
      <c r="I195">
        <f>IFERROR(__xludf.DUMMYFUNCTION("""COMPUTED_VALUE"""),2296.0)</f>
        <v>2296</v>
      </c>
      <c r="J195">
        <f>IFERROR(__xludf.DUMMYFUNCTION("""COMPUTED_VALUE"""),8.0)</f>
        <v>8</v>
      </c>
      <c r="K195">
        <f>IFERROR(__xludf.DUMMYFUNCTION("""COMPUTED_VALUE"""),159.0)</f>
        <v>159</v>
      </c>
      <c r="L195" t="str">
        <f>IFERROR(__xludf.DUMMYFUNCTION("""COMPUTED_VALUE"""),"RMLDNL80B68F052O")</f>
        <v>RMLDNL80B68F052O</v>
      </c>
      <c r="M195">
        <f>IFERROR(__xludf.DUMMYFUNCTION("""COMPUTED_VALUE"""),4.0)</f>
        <v>4</v>
      </c>
      <c r="N195">
        <f>IFERROR(__xludf.DUMMYFUNCTION("""COMPUTED_VALUE"""),43141.0)</f>
        <v>43141</v>
      </c>
      <c r="O195" t="str">
        <f>IFERROR(__xludf.DUMMYFUNCTION("""COMPUTED_VALUE"""),"")</f>
        <v/>
      </c>
    </row>
    <row r="196">
      <c r="A196">
        <f>IFERROR(__xludf.DUMMYFUNCTION("""COMPUTED_VALUE"""),40.660694721388)</f>
        <v>40.66069472</v>
      </c>
      <c r="B196">
        <f>IFERROR(__xludf.DUMMYFUNCTION("""COMPUTED_VALUE"""),16.6124065302002)</f>
        <v>16.61240653</v>
      </c>
      <c r="C196" t="str">
        <f>IFERROR(__xludf.DUMMYFUNCTION("""COMPUTED_VALUE"""),"Casa Vacanza")</f>
        <v>Casa Vacanza</v>
      </c>
      <c r="D196" t="str">
        <f>IFERROR(__xludf.DUMMYFUNCTION("""COMPUTED_VALUE"""),"IL SASSETTO")</f>
        <v>IL SASSETTO</v>
      </c>
      <c r="E196" t="str">
        <f>IFERROR(__xludf.DUMMYFUNCTION("""COMPUTED_VALUE"""),"SMALDONE SONIA")</f>
        <v>SMALDONE SONIA</v>
      </c>
      <c r="F196" t="str">
        <f>IFERROR(__xludf.DUMMYFUNCTION("""COMPUTED_VALUE"""),"RECINTOQUINTO LUCANA 4")</f>
        <v>RECINTOQUINTO LUCANA 4</v>
      </c>
      <c r="G196" t="str">
        <f>IFERROR(__xludf.DUMMYFUNCTION("""COMPUTED_VALUE"""),"Matera")</f>
        <v>Matera</v>
      </c>
      <c r="H196" t="str">
        <f>IFERROR(__xludf.DUMMYFUNCTION("""COMPUTED_VALUE"""),"Italy")</f>
        <v>Italy</v>
      </c>
      <c r="I196">
        <f>IFERROR(__xludf.DUMMYFUNCTION("""COMPUTED_VALUE"""),3433.0)</f>
        <v>3433</v>
      </c>
      <c r="J196">
        <f>IFERROR(__xludf.DUMMYFUNCTION("""COMPUTED_VALUE"""),7.0)</f>
        <v>7</v>
      </c>
      <c r="K196">
        <f>IFERROR(__xludf.DUMMYFUNCTION("""COMPUTED_VALUE"""),159.0)</f>
        <v>159</v>
      </c>
      <c r="L196" t="str">
        <f>IFERROR(__xludf.DUMMYFUNCTION("""COMPUTED_VALUE"""),"SMLSN095S70L418K")</f>
        <v>SMLSN095S70L418K</v>
      </c>
      <c r="M196">
        <f>IFERROR(__xludf.DUMMYFUNCTION("""COMPUTED_VALUE"""),4.0)</f>
        <v>4</v>
      </c>
      <c r="N196">
        <f>IFERROR(__xludf.DUMMYFUNCTION("""COMPUTED_VALUE"""),43321.0)</f>
        <v>43321</v>
      </c>
      <c r="O196" t="str">
        <f>IFERROR(__xludf.DUMMYFUNCTION("""COMPUTED_VALUE"""),"")</f>
        <v/>
      </c>
    </row>
    <row r="197">
      <c r="A197">
        <f>IFERROR(__xludf.DUMMYFUNCTION("""COMPUTED_VALUE"""),40.6642086)</f>
        <v>40.6642086</v>
      </c>
      <c r="B197">
        <f>IFERROR(__xludf.DUMMYFUNCTION("""COMPUTED_VALUE"""),16.6111538)</f>
        <v>16.6111538</v>
      </c>
      <c r="C197" t="str">
        <f>IFERROR(__xludf.DUMMYFUNCTION("""COMPUTED_VALUE"""),"Casa Vacanza")</f>
        <v>Casa Vacanza</v>
      </c>
      <c r="D197" t="str">
        <f>IFERROR(__xludf.DUMMYFUNCTION("""COMPUTED_VALUE"""),"IL SASSO SOTTO L'ALBERO")</f>
        <v>IL SASSO SOTTO L'ALBERO</v>
      </c>
      <c r="E197" t="str">
        <f>IFERROR(__xludf.DUMMYFUNCTION("""COMPUTED_VALUE"""),"STAFFIERI GIOVANNA")</f>
        <v>STAFFIERI GIOVANNA</v>
      </c>
      <c r="F197" t="str">
        <f>IFERROR(__xludf.DUMMYFUNCTION("""COMPUTED_VALUE"""),"VIA SAN PIETRO CAVEOSO 7")</f>
        <v>VIA SAN PIETRO CAVEOSO 7</v>
      </c>
      <c r="G197" t="str">
        <f>IFERROR(__xludf.DUMMYFUNCTION("""COMPUTED_VALUE"""),"Matera")</f>
        <v>Matera</v>
      </c>
      <c r="H197" t="str">
        <f>IFERROR(__xludf.DUMMYFUNCTION("""COMPUTED_VALUE"""),"Italy")</f>
        <v>Italy</v>
      </c>
      <c r="I197">
        <f>IFERROR(__xludf.DUMMYFUNCTION("""COMPUTED_VALUE"""),1815.0)</f>
        <v>1815</v>
      </c>
      <c r="J197">
        <f>IFERROR(__xludf.DUMMYFUNCTION("""COMPUTED_VALUE"""),4.0)</f>
        <v>4</v>
      </c>
      <c r="K197">
        <f>IFERROR(__xludf.DUMMYFUNCTION("""COMPUTED_VALUE"""),159.0)</f>
        <v>159</v>
      </c>
      <c r="L197" t="str">
        <f>IFERROR(__xludf.DUMMYFUNCTION("""COMPUTED_VALUE"""),"STFGNN77R45F052S")</f>
        <v>STFGNN77R45F052S</v>
      </c>
      <c r="M197">
        <f>IFERROR(__xludf.DUMMYFUNCTION("""COMPUTED_VALUE"""),3.0)</f>
        <v>3</v>
      </c>
      <c r="N197">
        <f>IFERROR(__xludf.DUMMYFUNCTION("""COMPUTED_VALUE"""),42208.0)</f>
        <v>42208</v>
      </c>
      <c r="O197">
        <f>IFERROR(__xludf.DUMMYFUNCTION("""COMPUTED_VALUE"""),2016.0)</f>
        <v>2016</v>
      </c>
    </row>
    <row r="198">
      <c r="A198">
        <f>IFERROR(__xludf.DUMMYFUNCTION("""COMPUTED_VALUE"""),40.6611792100518)</f>
        <v>40.66117921</v>
      </c>
      <c r="B198">
        <f>IFERROR(__xludf.DUMMYFUNCTION("""COMPUTED_VALUE"""),16.612992228003)</f>
        <v>16.61299223</v>
      </c>
      <c r="C198" t="str">
        <f>IFERROR(__xludf.DUMMYFUNCTION("""COMPUTED_VALUE"""),"Casa Vacanza")</f>
        <v>Casa Vacanza</v>
      </c>
      <c r="D198" t="str">
        <f>IFERROR(__xludf.DUMMYFUNCTION("""COMPUTED_VALUE"""),"IL SOGNO E LA STELLA")</f>
        <v>IL SOGNO E LA STELLA</v>
      </c>
      <c r="E198" t="str">
        <f>IFERROR(__xludf.DUMMYFUNCTION("""COMPUTED_VALUE"""),"STELLA RAFFAELE")</f>
        <v>STELLA RAFFAELE</v>
      </c>
      <c r="F198" t="str">
        <f>IFERROR(__xludf.DUMMYFUNCTION("""COMPUTED_VALUE"""),"VICO 1° CASALNUOVO 42")</f>
        <v>VICO 1° CASALNUOVO 42</v>
      </c>
      <c r="G198" t="str">
        <f>IFERROR(__xludf.DUMMYFUNCTION("""COMPUTED_VALUE"""),"Matera")</f>
        <v>Matera</v>
      </c>
      <c r="H198" t="str">
        <f>IFERROR(__xludf.DUMMYFUNCTION("""COMPUTED_VALUE"""),"Italy")</f>
        <v>Italy</v>
      </c>
      <c r="I198">
        <f>IFERROR(__xludf.DUMMYFUNCTION("""COMPUTED_VALUE"""),2464.0)</f>
        <v>2464</v>
      </c>
      <c r="J198">
        <f>IFERROR(__xludf.DUMMYFUNCTION("""COMPUTED_VALUE"""),8.0)</f>
        <v>8</v>
      </c>
      <c r="K198">
        <f>IFERROR(__xludf.DUMMYFUNCTION("""COMPUTED_VALUE"""),159.0)</f>
        <v>159</v>
      </c>
      <c r="L198" t="str">
        <f>IFERROR(__xludf.DUMMYFUNCTION("""COMPUTED_VALUE"""),"STLRFL54MO2F052C")</f>
        <v>STLRFL54MO2F052C</v>
      </c>
      <c r="M198">
        <f>IFERROR(__xludf.DUMMYFUNCTION("""COMPUTED_VALUE"""),4.0)</f>
        <v>4</v>
      </c>
      <c r="N198">
        <f>IFERROR(__xludf.DUMMYFUNCTION("""COMPUTED_VALUE"""),43069.0)</f>
        <v>43069</v>
      </c>
      <c r="O198" t="str">
        <f>IFERROR(__xludf.DUMMYFUNCTION("""COMPUTED_VALUE"""),"")</f>
        <v/>
      </c>
    </row>
    <row r="199">
      <c r="A199">
        <f>IFERROR(__xludf.DUMMYFUNCTION("""COMPUTED_VALUE"""),40.6583426596568)</f>
        <v>40.65834266</v>
      </c>
      <c r="B199">
        <f>IFERROR(__xludf.DUMMYFUNCTION("""COMPUTED_VALUE"""),16.6161005358154)</f>
        <v>16.61610054</v>
      </c>
      <c r="C199" t="str">
        <f>IFERROR(__xludf.DUMMYFUNCTION("""COMPUTED_VALUE"""),"Casa Vacanza")</f>
        <v>Casa Vacanza</v>
      </c>
      <c r="D199" t="str">
        <f>IFERROR(__xludf.DUMMYFUNCTION("""COMPUTED_VALUE"""),"IL SOLE DEI SASSI")</f>
        <v>IL SOLE DEI SASSI</v>
      </c>
      <c r="E199" t="str">
        <f>IFERROR(__xludf.DUMMYFUNCTION("""COMPUTED_VALUE"""),"EUSTACHIO CARLUCCI")</f>
        <v>EUSTACHIO CARLUCCI</v>
      </c>
      <c r="F199" t="str">
        <f>IFERROR(__xludf.DUMMYFUNCTION("""COMPUTED_VALUE"""),"VIA CASALNUOVO 271")</f>
        <v>VIA CASALNUOVO 271</v>
      </c>
      <c r="G199" t="str">
        <f>IFERROR(__xludf.DUMMYFUNCTION("""COMPUTED_VALUE"""),"Matera")</f>
        <v>Matera</v>
      </c>
      <c r="H199" t="str">
        <f>IFERROR(__xludf.DUMMYFUNCTION("""COMPUTED_VALUE"""),"Italy")</f>
        <v>Italy</v>
      </c>
      <c r="I199">
        <f>IFERROR(__xludf.DUMMYFUNCTION("""COMPUTED_VALUE"""),65.0)</f>
        <v>65</v>
      </c>
      <c r="J199">
        <f>IFERROR(__xludf.DUMMYFUNCTION("""COMPUTED_VALUE"""),1.0)</f>
        <v>1</v>
      </c>
      <c r="K199">
        <f>IFERROR(__xludf.DUMMYFUNCTION("""COMPUTED_VALUE"""),105.0)</f>
        <v>105</v>
      </c>
      <c r="L199" t="str">
        <f>IFERROR(__xludf.DUMMYFUNCTION("""COMPUTED_VALUE"""),"CRLSCH89L06A662Z")</f>
        <v>CRLSCH89L06A662Z</v>
      </c>
      <c r="M199">
        <f>IFERROR(__xludf.DUMMYFUNCTION("""COMPUTED_VALUE"""),4.0)</f>
        <v>4</v>
      </c>
      <c r="N199">
        <f>IFERROR(__xludf.DUMMYFUNCTION("""COMPUTED_VALUE"""),42887.0)</f>
        <v>42887</v>
      </c>
      <c r="O199">
        <f>IFERROR(__xludf.DUMMYFUNCTION("""COMPUTED_VALUE"""),1129.0)</f>
        <v>1129</v>
      </c>
    </row>
    <row r="200">
      <c r="A200">
        <f>IFERROR(__xludf.DUMMYFUNCTION("""COMPUTED_VALUE"""),40.6668209)</f>
        <v>40.6668209</v>
      </c>
      <c r="B200">
        <f>IFERROR(__xludf.DUMMYFUNCTION("""COMPUTED_VALUE"""),16.6024221)</f>
        <v>16.6024221</v>
      </c>
      <c r="C200" t="str">
        <f>IFERROR(__xludf.DUMMYFUNCTION("""COMPUTED_VALUE"""),"Casa Vacanza")</f>
        <v>Casa Vacanza</v>
      </c>
      <c r="D200" t="str">
        <f>IFERROR(__xludf.DUMMYFUNCTION("""COMPUTED_VALUE"""),"IL SOLE DENTRO")</f>
        <v>IL SOLE DENTRO</v>
      </c>
      <c r="E200" t="str">
        <f>IFERROR(__xludf.DUMMYFUNCTION("""COMPUTED_VALUE"""),"NICOLA DUNI")</f>
        <v>NICOLA DUNI</v>
      </c>
      <c r="F200" t="str">
        <f>IFERROR(__xludf.DUMMYFUNCTION("""COMPUTED_VALUE"""),"PIAZZA MATTEOTTI 7")</f>
        <v>PIAZZA MATTEOTTI 7</v>
      </c>
      <c r="G200" t="str">
        <f>IFERROR(__xludf.DUMMYFUNCTION("""COMPUTED_VALUE"""),"Matera")</f>
        <v>Matera</v>
      </c>
      <c r="H200" t="str">
        <f>IFERROR(__xludf.DUMMYFUNCTION("""COMPUTED_VALUE"""),"Italy")</f>
        <v>Italy</v>
      </c>
      <c r="I200">
        <f>IFERROR(__xludf.DUMMYFUNCTION("""COMPUTED_VALUE"""),270.0)</f>
        <v>270</v>
      </c>
      <c r="J200">
        <f>IFERROR(__xludf.DUMMYFUNCTION("""COMPUTED_VALUE"""),25.0)</f>
        <v>25</v>
      </c>
      <c r="K200">
        <f>IFERROR(__xludf.DUMMYFUNCTION("""COMPUTED_VALUE"""),71.0)</f>
        <v>71</v>
      </c>
      <c r="L200" t="str">
        <f>IFERROR(__xludf.DUMMYFUNCTION("""COMPUTED_VALUE"""),"DNUNCL71B10F052X")</f>
        <v>DNUNCL71B10F052X</v>
      </c>
      <c r="M200">
        <f>IFERROR(__xludf.DUMMYFUNCTION("""COMPUTED_VALUE"""),4.0)</f>
        <v>4</v>
      </c>
      <c r="N200">
        <f>IFERROR(__xludf.DUMMYFUNCTION("""COMPUTED_VALUE"""),42948.0)</f>
        <v>42948</v>
      </c>
      <c r="O200" t="str">
        <f>IFERROR(__xludf.DUMMYFUNCTION("""COMPUTED_VALUE"""),"")</f>
        <v/>
      </c>
    </row>
    <row r="201">
      <c r="A201">
        <f>IFERROR(__xludf.DUMMYFUNCTION("""COMPUTED_VALUE"""),40.667502)</f>
        <v>40.667502</v>
      </c>
      <c r="B201">
        <f>IFERROR(__xludf.DUMMYFUNCTION("""COMPUTED_VALUE"""),16.607913)</f>
        <v>16.607913</v>
      </c>
      <c r="C201" t="str">
        <f>IFERROR(__xludf.DUMMYFUNCTION("""COMPUTED_VALUE"""),"Casa Vacanza")</f>
        <v>Casa Vacanza</v>
      </c>
      <c r="D201" t="str">
        <f>IFERROR(__xludf.DUMMYFUNCTION("""COMPUTED_VALUE"""),"IL SOLE DI PAGLIA")</f>
        <v>IL SOLE DI PAGLIA</v>
      </c>
      <c r="E201" t="str">
        <f>IFERROR(__xludf.DUMMYFUNCTION("""COMPUTED_VALUE"""),"ANTONICELLI TERESA")</f>
        <v>ANTONICELLI TERESA</v>
      </c>
      <c r="F201" t="str">
        <f>IFERROR(__xludf.DUMMYFUNCTION("""COMPUTED_VALUE"""),"VIA SAN BIAGIO 26")</f>
        <v>VIA SAN BIAGIO 26</v>
      </c>
      <c r="G201" t="str">
        <f>IFERROR(__xludf.DUMMYFUNCTION("""COMPUTED_VALUE"""),"Matera")</f>
        <v>Matera</v>
      </c>
      <c r="H201" t="str">
        <f>IFERROR(__xludf.DUMMYFUNCTION("""COMPUTED_VALUE"""),"Italy")</f>
        <v>Italy</v>
      </c>
      <c r="I201">
        <f>IFERROR(__xludf.DUMMYFUNCTION("""COMPUTED_VALUE"""),595.0)</f>
        <v>595</v>
      </c>
      <c r="J201">
        <f>IFERROR(__xludf.DUMMYFUNCTION("""COMPUTED_VALUE"""),10.0)</f>
        <v>10</v>
      </c>
      <c r="K201">
        <f>IFERROR(__xludf.DUMMYFUNCTION("""COMPUTED_VALUE"""),159.0)</f>
        <v>159</v>
      </c>
      <c r="L201" t="str">
        <f>IFERROR(__xludf.DUMMYFUNCTION("""COMPUTED_VALUE"""),"NTNTRS83S63L418J")</f>
        <v>NTNTRS83S63L418J</v>
      </c>
      <c r="M201">
        <f>IFERROR(__xludf.DUMMYFUNCTION("""COMPUTED_VALUE"""),3.0)</f>
        <v>3</v>
      </c>
      <c r="N201">
        <f>IFERROR(__xludf.DUMMYFUNCTION("""COMPUTED_VALUE"""),42731.0)</f>
        <v>42731</v>
      </c>
      <c r="O201" t="str">
        <f>IFERROR(__xludf.DUMMYFUNCTION("""COMPUTED_VALUE"""),"")</f>
        <v/>
      </c>
    </row>
    <row r="202">
      <c r="A202">
        <f>IFERROR(__xludf.DUMMYFUNCTION("""COMPUTED_VALUE"""),40.666659)</f>
        <v>40.666659</v>
      </c>
      <c r="B202">
        <f>IFERROR(__xludf.DUMMYFUNCTION("""COMPUTED_VALUE"""),16.608279)</f>
        <v>16.608279</v>
      </c>
      <c r="C202" t="str">
        <f>IFERROR(__xludf.DUMMYFUNCTION("""COMPUTED_VALUE"""),"Casa Vacanza")</f>
        <v>Casa Vacanza</v>
      </c>
      <c r="D202" t="str">
        <f>IFERROR(__xludf.DUMMYFUNCTION("""COMPUTED_VALUE"""),"IL SOLE DI PAGLIA GIU'")</f>
        <v>IL SOLE DI PAGLIA GIU'</v>
      </c>
      <c r="E202" t="str">
        <f>IFERROR(__xludf.DUMMYFUNCTION("""COMPUTED_VALUE"""),"ANTONICELLI TERESA")</f>
        <v>ANTONICELLI TERESA</v>
      </c>
      <c r="F202" t="str">
        <f>IFERROR(__xludf.DUMMYFUNCTION("""COMPUTED_VALUE"""),"VIA FIORENTINI 71")</f>
        <v>VIA FIORENTINI 71</v>
      </c>
      <c r="G202" t="str">
        <f>IFERROR(__xludf.DUMMYFUNCTION("""COMPUTED_VALUE"""),"Matera")</f>
        <v>Matera</v>
      </c>
      <c r="H202" t="str">
        <f>IFERROR(__xludf.DUMMYFUNCTION("""COMPUTED_VALUE"""),"Italy")</f>
        <v>Italy</v>
      </c>
      <c r="I202">
        <f>IFERROR(__xludf.DUMMYFUNCTION("""COMPUTED_VALUE"""),509.0)</f>
        <v>509</v>
      </c>
      <c r="J202">
        <f>IFERROR(__xludf.DUMMYFUNCTION("""COMPUTED_VALUE"""),4.0)</f>
        <v>4</v>
      </c>
      <c r="K202">
        <f>IFERROR(__xludf.DUMMYFUNCTION("""COMPUTED_VALUE"""),159.0)</f>
        <v>159</v>
      </c>
      <c r="L202" t="str">
        <f>IFERROR(__xludf.DUMMYFUNCTION("""COMPUTED_VALUE"""),"NTNTRS83S63L418J")</f>
        <v>NTNTRS83S63L418J</v>
      </c>
      <c r="M202">
        <f>IFERROR(__xludf.DUMMYFUNCTION("""COMPUTED_VALUE"""),2.0)</f>
        <v>2</v>
      </c>
      <c r="N202">
        <f>IFERROR(__xludf.DUMMYFUNCTION("""COMPUTED_VALUE"""),43379.0)</f>
        <v>43379</v>
      </c>
      <c r="O202" t="str">
        <f>IFERROR(__xludf.DUMMYFUNCTION("""COMPUTED_VALUE"""),"")</f>
        <v/>
      </c>
    </row>
    <row r="203">
      <c r="A203">
        <f>IFERROR(__xludf.DUMMYFUNCTION("""COMPUTED_VALUE"""),40.6679398598693)</f>
        <v>40.66793986</v>
      </c>
      <c r="B203">
        <f>IFERROR(__xludf.DUMMYFUNCTION("""COMPUTED_VALUE"""),16.6109319655336)</f>
        <v>16.61093197</v>
      </c>
      <c r="C203" t="str">
        <f>IFERROR(__xludf.DUMMYFUNCTION("""COMPUTED_VALUE"""),"Casa Vacanza")</f>
        <v>Casa Vacanza</v>
      </c>
      <c r="D203" t="str">
        <f>IFERROR(__xludf.DUMMYFUNCTION("""COMPUTED_VALUE"""),"IL SOLE NEI SASSI")</f>
        <v>IL SOLE NEI SASSI</v>
      </c>
      <c r="E203" t="str">
        <f>IFERROR(__xludf.DUMMYFUNCTION("""COMPUTED_VALUE"""),"LATERZA CAROLINA ANNA")</f>
        <v>LATERZA CAROLINA ANNA</v>
      </c>
      <c r="F203" t="str">
        <f>IFERROR(__xludf.DUMMYFUNCTION("""COMPUTED_VALUE"""),"VIA SAN NICOLA DEL SOLE 1")</f>
        <v>VIA SAN NICOLA DEL SOLE 1</v>
      </c>
      <c r="G203" t="str">
        <f>IFERROR(__xludf.DUMMYFUNCTION("""COMPUTED_VALUE"""),"Matera")</f>
        <v>Matera</v>
      </c>
      <c r="H203" t="str">
        <f>IFERROR(__xludf.DUMMYFUNCTION("""COMPUTED_VALUE"""),"Italy")</f>
        <v>Italy</v>
      </c>
      <c r="I203">
        <f>IFERROR(__xludf.DUMMYFUNCTION("""COMPUTED_VALUE"""),950.0)</f>
        <v>950</v>
      </c>
      <c r="J203">
        <f>IFERROR(__xludf.DUMMYFUNCTION("""COMPUTED_VALUE"""),3.0)</f>
        <v>3</v>
      </c>
      <c r="K203">
        <f>IFERROR(__xludf.DUMMYFUNCTION("""COMPUTED_VALUE"""),159.0)</f>
        <v>159</v>
      </c>
      <c r="L203" t="str">
        <f>IFERROR(__xludf.DUMMYFUNCTION("""COMPUTED_VALUE"""),"LTRCLN58R54F052F")</f>
        <v>LTRCLN58R54F052F</v>
      </c>
      <c r="M203">
        <f>IFERROR(__xludf.DUMMYFUNCTION("""COMPUTED_VALUE"""),6.0)</f>
        <v>6</v>
      </c>
      <c r="N203">
        <f>IFERROR(__xludf.DUMMYFUNCTION("""COMPUTED_VALUE"""),43195.0)</f>
        <v>43195</v>
      </c>
      <c r="O203" t="str">
        <f>IFERROR(__xludf.DUMMYFUNCTION("""COMPUTED_VALUE"""),"")</f>
        <v/>
      </c>
    </row>
    <row r="204">
      <c r="A204">
        <f>IFERROR(__xludf.DUMMYFUNCTION("""COMPUTED_VALUE"""),40.6638382)</f>
        <v>40.6638382</v>
      </c>
      <c r="B204">
        <f>IFERROR(__xludf.DUMMYFUNCTION("""COMPUTED_VALUE"""),16.611566)</f>
        <v>16.611566</v>
      </c>
      <c r="C204" t="str">
        <f>IFERROR(__xludf.DUMMYFUNCTION("""COMPUTED_VALUE"""),"Casa Vacanza")</f>
        <v>Casa Vacanza</v>
      </c>
      <c r="D204" t="str">
        <f>IFERROR(__xludf.DUMMYFUNCTION("""COMPUTED_VALUE"""),"IL TEMPO RITROVATO")</f>
        <v>IL TEMPO RITROVATO</v>
      </c>
      <c r="E204" t="str">
        <f>IFERROR(__xludf.DUMMYFUNCTION("""COMPUTED_VALUE"""),"ANNUNZIATA SCHIUMA")</f>
        <v>ANNUNZIATA SCHIUMA</v>
      </c>
      <c r="F204" t="str">
        <f>IFERROR(__xludf.DUMMYFUNCTION("""COMPUTED_VALUE"""),"VIA B.BUOZZI 132")</f>
        <v>VIA B.BUOZZI 132</v>
      </c>
      <c r="G204" t="str">
        <f>IFERROR(__xludf.DUMMYFUNCTION("""COMPUTED_VALUE"""),"Matera")</f>
        <v>Matera</v>
      </c>
      <c r="H204" t="str">
        <f>IFERROR(__xludf.DUMMYFUNCTION("""COMPUTED_VALUE"""),"Italy")</f>
        <v>Italy</v>
      </c>
      <c r="I204">
        <f>IFERROR(__xludf.DUMMYFUNCTION("""COMPUTED_VALUE"""),2178.0)</f>
        <v>2178</v>
      </c>
      <c r="J204">
        <f>IFERROR(__xludf.DUMMYFUNCTION("""COMPUTED_VALUE"""),2.0)</f>
        <v>2</v>
      </c>
      <c r="K204">
        <f>IFERROR(__xludf.DUMMYFUNCTION("""COMPUTED_VALUE"""),159.0)</f>
        <v>159</v>
      </c>
      <c r="L204" t="str">
        <f>IFERROR(__xludf.DUMMYFUNCTION("""COMPUTED_VALUE"""),"SCHNNZ57T65F052C")</f>
        <v>SCHNNZ57T65F052C</v>
      </c>
      <c r="M204">
        <f>IFERROR(__xludf.DUMMYFUNCTION("""COMPUTED_VALUE"""),4.0)</f>
        <v>4</v>
      </c>
      <c r="N204">
        <f>IFERROR(__xludf.DUMMYFUNCTION("""COMPUTED_VALUE"""),42208.0)</f>
        <v>42208</v>
      </c>
      <c r="O204" t="str">
        <f>IFERROR(__xludf.DUMMYFUNCTION("""COMPUTED_VALUE"""),"")</f>
        <v/>
      </c>
    </row>
    <row r="205">
      <c r="A205">
        <f>IFERROR(__xludf.DUMMYFUNCTION("""COMPUTED_VALUE"""),40.6608489)</f>
        <v>40.6608489</v>
      </c>
      <c r="B205">
        <f>IFERROR(__xludf.DUMMYFUNCTION("""COMPUTED_VALUE"""),16.6131396)</f>
        <v>16.6131396</v>
      </c>
      <c r="C205" t="str">
        <f>IFERROR(__xludf.DUMMYFUNCTION("""COMPUTED_VALUE"""),"Casa Vacanza")</f>
        <v>Casa Vacanza</v>
      </c>
      <c r="D205" t="str">
        <f>IFERROR(__xludf.DUMMYFUNCTION("""COMPUTED_VALUE"""),"IL TRIFOGLIO")</f>
        <v>IL TRIFOGLIO</v>
      </c>
      <c r="E205" t="str">
        <f>IFERROR(__xludf.DUMMYFUNCTION("""COMPUTED_VALUE"""),"PAPAPIETRO ANNA")</f>
        <v>PAPAPIETRO ANNA</v>
      </c>
      <c r="F205" t="str">
        <f>IFERROR(__xludf.DUMMYFUNCTION("""COMPUTED_VALUE"""),"VICO 2° CASALNUOVO 40")</f>
        <v>VICO 2° CASALNUOVO 40</v>
      </c>
      <c r="G205" t="str">
        <f>IFERROR(__xludf.DUMMYFUNCTION("""COMPUTED_VALUE"""),"Matera")</f>
        <v>Matera</v>
      </c>
      <c r="H205" t="str">
        <f>IFERROR(__xludf.DUMMYFUNCTION("""COMPUTED_VALUE"""),"Italy")</f>
        <v>Italy</v>
      </c>
      <c r="I205">
        <f>IFERROR(__xludf.DUMMYFUNCTION("""COMPUTED_VALUE"""),2529.0)</f>
        <v>2529</v>
      </c>
      <c r="J205">
        <f>IFERROR(__xludf.DUMMYFUNCTION("""COMPUTED_VALUE"""),3.0)</f>
        <v>3</v>
      </c>
      <c r="K205">
        <f>IFERROR(__xludf.DUMMYFUNCTION("""COMPUTED_VALUE"""),159.0)</f>
        <v>159</v>
      </c>
      <c r="L205" t="str">
        <f>IFERROR(__xludf.DUMMYFUNCTION("""COMPUTED_VALUE"""),"PPPNNA54C47F052J")</f>
        <v>PPPNNA54C47F052J</v>
      </c>
      <c r="M205">
        <f>IFERROR(__xludf.DUMMYFUNCTION("""COMPUTED_VALUE"""),2.0)</f>
        <v>2</v>
      </c>
      <c r="N205">
        <f>IFERROR(__xludf.DUMMYFUNCTION("""COMPUTED_VALUE"""),42746.0)</f>
        <v>42746</v>
      </c>
      <c r="O205" t="str">
        <f>IFERROR(__xludf.DUMMYFUNCTION("""COMPUTED_VALUE"""),"")</f>
        <v/>
      </c>
    </row>
    <row r="206">
      <c r="A206">
        <f>IFERROR(__xludf.DUMMYFUNCTION("""COMPUTED_VALUE"""),40.6594201)</f>
        <v>40.6594201</v>
      </c>
      <c r="B206">
        <f>IFERROR(__xludf.DUMMYFUNCTION("""COMPUTED_VALUE"""),16.6037732)</f>
        <v>16.6037732</v>
      </c>
      <c r="C206" t="str">
        <f>IFERROR(__xludf.DUMMYFUNCTION("""COMPUTED_VALUE"""),"Casa Vacanza")</f>
        <v>Casa Vacanza</v>
      </c>
      <c r="D206" t="str">
        <f>IFERROR(__xludf.DUMMYFUNCTION("""COMPUTED_VALUE"""),"IL TULIPANO")</f>
        <v>IL TULIPANO</v>
      </c>
      <c r="E206" t="str">
        <f>IFERROR(__xludf.DUMMYFUNCTION("""COMPUTED_VALUE"""),"ANGELA MARIA DRAGONE")</f>
        <v>ANGELA MARIA DRAGONE</v>
      </c>
      <c r="F206" t="str">
        <f>IFERROR(__xludf.DUMMYFUNCTION("""COMPUTED_VALUE"""),"VIALE TULIPANO 2")</f>
        <v>VIALE TULIPANO 2</v>
      </c>
      <c r="G206" t="str">
        <f>IFERROR(__xludf.DUMMYFUNCTION("""COMPUTED_VALUE"""),"Matera")</f>
        <v>Matera</v>
      </c>
      <c r="H206" t="str">
        <f>IFERROR(__xludf.DUMMYFUNCTION("""COMPUTED_VALUE"""),"Italy")</f>
        <v>Italy</v>
      </c>
      <c r="I206">
        <f>IFERROR(__xludf.DUMMYFUNCTION("""COMPUTED_VALUE"""),311.0)</f>
        <v>311</v>
      </c>
      <c r="J206">
        <f>IFERROR(__xludf.DUMMYFUNCTION("""COMPUTED_VALUE"""),5.0)</f>
        <v>5</v>
      </c>
      <c r="K206">
        <f>IFERROR(__xludf.DUMMYFUNCTION("""COMPUTED_VALUE"""),101.0)</f>
        <v>101</v>
      </c>
      <c r="L206" t="str">
        <f>IFERROR(__xludf.DUMMYFUNCTION("""COMPUTED_VALUE"""),"DRGNLM66A41F052G")</f>
        <v>DRGNLM66A41F052G</v>
      </c>
      <c r="M206">
        <f>IFERROR(__xludf.DUMMYFUNCTION("""COMPUTED_VALUE"""),5.0)</f>
        <v>5</v>
      </c>
      <c r="N206">
        <f>IFERROR(__xludf.DUMMYFUNCTION("""COMPUTED_VALUE"""),42469.0)</f>
        <v>42469</v>
      </c>
      <c r="O206" t="str">
        <f>IFERROR(__xludf.DUMMYFUNCTION("""COMPUTED_VALUE"""),"")</f>
        <v/>
      </c>
    </row>
    <row r="207">
      <c r="A207">
        <f>IFERROR(__xludf.DUMMYFUNCTION("""COMPUTED_VALUE"""),40.667149088425)</f>
        <v>40.66714909</v>
      </c>
      <c r="B207">
        <f>IFERROR(__xludf.DUMMYFUNCTION("""COMPUTED_VALUE"""),16.6088406138958)</f>
        <v>16.60884061</v>
      </c>
      <c r="C207" t="str">
        <f>IFERROR(__xludf.DUMMYFUNCTION("""COMPUTED_VALUE"""),"Casa Vacanza")</f>
        <v>Casa Vacanza</v>
      </c>
      <c r="D207" t="str">
        <f>IFERROR(__xludf.DUMMYFUNCTION("""COMPUTED_VALUE"""),"IL VIALETTO NEI SASSI")</f>
        <v>IL VIALETTO NEI SASSI</v>
      </c>
      <c r="E207" t="str">
        <f>IFERROR(__xludf.DUMMYFUNCTION("""COMPUTED_VALUE"""),"GIUSEPPE ANTONIO ACITO")</f>
        <v>GIUSEPPE ANTONIO ACITO</v>
      </c>
      <c r="F207" t="str">
        <f>IFERROR(__xludf.DUMMYFUNCTION("""COMPUTED_VALUE"""),"VIA SAN ROCCO47")</f>
        <v>VIA SAN ROCCO47</v>
      </c>
      <c r="G207" t="str">
        <f>IFERROR(__xludf.DUMMYFUNCTION("""COMPUTED_VALUE"""),"Matera")</f>
        <v>Matera</v>
      </c>
      <c r="H207" t="str">
        <f>IFERROR(__xludf.DUMMYFUNCTION("""COMPUTED_VALUE"""),"Italy")</f>
        <v>Italy</v>
      </c>
      <c r="I207">
        <f>IFERROR(__xludf.DUMMYFUNCTION("""COMPUTED_VALUE"""),451.0)</f>
        <v>451</v>
      </c>
      <c r="J207">
        <f>IFERROR(__xludf.DUMMYFUNCTION("""COMPUTED_VALUE"""),5.0)</f>
        <v>5</v>
      </c>
      <c r="K207">
        <f>IFERROR(__xludf.DUMMYFUNCTION("""COMPUTED_VALUE"""),159.0)</f>
        <v>159</v>
      </c>
      <c r="L207" t="str">
        <f>IFERROR(__xludf.DUMMYFUNCTION("""COMPUTED_VALUE"""),"CTAGPP71D27F052F")</f>
        <v>CTAGPP71D27F052F</v>
      </c>
      <c r="M207">
        <f>IFERROR(__xludf.DUMMYFUNCTION("""COMPUTED_VALUE"""),4.0)</f>
        <v>4</v>
      </c>
      <c r="N207">
        <f>IFERROR(__xludf.DUMMYFUNCTION("""COMPUTED_VALUE"""),42448.0)</f>
        <v>42448</v>
      </c>
      <c r="O207" t="str">
        <f>IFERROR(__xludf.DUMMYFUNCTION("""COMPUTED_VALUE"""),"")</f>
        <v/>
      </c>
    </row>
    <row r="208">
      <c r="A208">
        <f>IFERROR(__xludf.DUMMYFUNCTION("""COMPUTED_VALUE"""),40.667149088425)</f>
        <v>40.66714909</v>
      </c>
      <c r="B208">
        <f>IFERROR(__xludf.DUMMYFUNCTION("""COMPUTED_VALUE"""),16.6088406138958)</f>
        <v>16.60884061</v>
      </c>
      <c r="C208" t="str">
        <f>IFERROR(__xludf.DUMMYFUNCTION("""COMPUTED_VALUE"""),"Casa Vacanza")</f>
        <v>Casa Vacanza</v>
      </c>
      <c r="D208" t="str">
        <f>IFERROR(__xludf.DUMMYFUNCTION("""COMPUTED_VALUE"""),"IL VIALETTO NEI SASSI")</f>
        <v>IL VIALETTO NEI SASSI</v>
      </c>
      <c r="E208" t="str">
        <f>IFERROR(__xludf.DUMMYFUNCTION("""COMPUTED_VALUE"""),"GIUSEPPE ANTONIO ACITO")</f>
        <v>GIUSEPPE ANTONIO ACITO</v>
      </c>
      <c r="F208" t="str">
        <f>IFERROR(__xludf.DUMMYFUNCTION("""COMPUTED_VALUE"""),"VIA SAN ROCCO  51-59")</f>
        <v>VIA SAN ROCCO  51-59</v>
      </c>
      <c r="G208" t="str">
        <f>IFERROR(__xludf.DUMMYFUNCTION("""COMPUTED_VALUE"""),"Matera")</f>
        <v>Matera</v>
      </c>
      <c r="H208" t="str">
        <f>IFERROR(__xludf.DUMMYFUNCTION("""COMPUTED_VALUE"""),"Italy")</f>
        <v>Italy</v>
      </c>
      <c r="I208">
        <f>IFERROR(__xludf.DUMMYFUNCTION("""COMPUTED_VALUE"""),451.0)</f>
        <v>451</v>
      </c>
      <c r="J208">
        <f>IFERROR(__xludf.DUMMYFUNCTION("""COMPUTED_VALUE"""),6.0)</f>
        <v>6</v>
      </c>
      <c r="K208">
        <f>IFERROR(__xludf.DUMMYFUNCTION("""COMPUTED_VALUE"""),159.0)</f>
        <v>159</v>
      </c>
      <c r="L208" t="str">
        <f>IFERROR(__xludf.DUMMYFUNCTION("""COMPUTED_VALUE"""),"CTAGPP71D27F052F")</f>
        <v>CTAGPP71D27F052F</v>
      </c>
      <c r="M208">
        <f>IFERROR(__xludf.DUMMYFUNCTION("""COMPUTED_VALUE"""),4.0)</f>
        <v>4</v>
      </c>
      <c r="N208">
        <f>IFERROR(__xludf.DUMMYFUNCTION("""COMPUTED_VALUE"""),42448.0)</f>
        <v>42448</v>
      </c>
      <c r="O208" t="str">
        <f>IFERROR(__xludf.DUMMYFUNCTION("""COMPUTED_VALUE"""),"")</f>
        <v/>
      </c>
    </row>
    <row r="209">
      <c r="A209">
        <f>IFERROR(__xludf.DUMMYFUNCTION("""COMPUTED_VALUE"""),40.6641313617703)</f>
        <v>40.66413136</v>
      </c>
      <c r="B209">
        <f>IFERROR(__xludf.DUMMYFUNCTION("""COMPUTED_VALUE"""),16.6110039750091)</f>
        <v>16.61100398</v>
      </c>
      <c r="C209" t="str">
        <f>IFERROR(__xludf.DUMMYFUNCTION("""COMPUTED_VALUE"""),"Casa Vacanza")</f>
        <v>Casa Vacanza</v>
      </c>
      <c r="D209" t="str">
        <f>IFERROR(__xludf.DUMMYFUNCTION("""COMPUTED_VALUE"""),"IL VICINATO")</f>
        <v>IL VICINATO</v>
      </c>
      <c r="E209" t="str">
        <f>IFERROR(__xludf.DUMMYFUNCTION("""COMPUTED_VALUE"""),"TERESA URGO")</f>
        <v>TERESA URGO</v>
      </c>
      <c r="F209" t="str">
        <f>IFERROR(__xludf.DUMMYFUNCTION("""COMPUTED_VALUE"""),"PI.ZZA S.P.CAVEOSO 2")</f>
        <v>PI.ZZA S.P.CAVEOSO 2</v>
      </c>
      <c r="G209" t="str">
        <f>IFERROR(__xludf.DUMMYFUNCTION("""COMPUTED_VALUE"""),"Matera")</f>
        <v>Matera</v>
      </c>
      <c r="H209" t="str">
        <f>IFERROR(__xludf.DUMMYFUNCTION("""COMPUTED_VALUE"""),"Italy")</f>
        <v>Italy</v>
      </c>
      <c r="I209">
        <f>IFERROR(__xludf.DUMMYFUNCTION("""COMPUTED_VALUE"""),2112.0)</f>
        <v>2112</v>
      </c>
      <c r="J209">
        <f>IFERROR(__xludf.DUMMYFUNCTION("""COMPUTED_VALUE"""),3.0)</f>
        <v>3</v>
      </c>
      <c r="K209">
        <f>IFERROR(__xludf.DUMMYFUNCTION("""COMPUTED_VALUE"""),159.0)</f>
        <v>159</v>
      </c>
      <c r="L209" t="str">
        <f>IFERROR(__xludf.DUMMYFUNCTION("""COMPUTED_VALUE"""),"RGUTRS62C47F052E")</f>
        <v>RGUTRS62C47F052E</v>
      </c>
      <c r="M209">
        <f>IFERROR(__xludf.DUMMYFUNCTION("""COMPUTED_VALUE"""),2.0)</f>
        <v>2</v>
      </c>
      <c r="N209">
        <f>IFERROR(__xludf.DUMMYFUNCTION("""COMPUTED_VALUE"""),41684.0)</f>
        <v>41684</v>
      </c>
      <c r="O209" t="str">
        <f>IFERROR(__xludf.DUMMYFUNCTION("""COMPUTED_VALUE"""),"")</f>
        <v/>
      </c>
    </row>
    <row r="210">
      <c r="A210">
        <f>IFERROR(__xludf.DUMMYFUNCTION("""COMPUTED_VALUE"""),40.6700955248363)</f>
        <v>40.67009552</v>
      </c>
      <c r="B210">
        <f>IFERROR(__xludf.DUMMYFUNCTION("""COMPUTED_VALUE"""),16.6078877706901)</f>
        <v>16.60788777</v>
      </c>
      <c r="C210" t="str">
        <f>IFERROR(__xludf.DUMMYFUNCTION("""COMPUTED_VALUE"""),"Casa Vacanza")</f>
        <v>Casa Vacanza</v>
      </c>
      <c r="D210" t="str">
        <f>IFERROR(__xludf.DUMMYFUNCTION("""COMPUTED_VALUE"""),"IL VICOLETTO")</f>
        <v>IL VICOLETTO</v>
      </c>
      <c r="E210" t="str">
        <f>IFERROR(__xludf.DUMMYFUNCTION("""COMPUTED_VALUE"""),"LOPERFIDO MARGHERITA LUCIA")</f>
        <v>LOPERFIDO MARGHERITA LUCIA</v>
      </c>
      <c r="F210" t="str">
        <f>IFERROR(__xludf.DUMMYFUNCTION("""COMPUTED_VALUE"""),"VIA F. P. FESTA 9 2 PIANO")</f>
        <v>VIA F. P. FESTA 9 2 PIANO</v>
      </c>
      <c r="G210" t="str">
        <f>IFERROR(__xludf.DUMMYFUNCTION("""COMPUTED_VALUE"""),"Matera")</f>
        <v>Matera</v>
      </c>
      <c r="H210" t="str">
        <f>IFERROR(__xludf.DUMMYFUNCTION("""COMPUTED_VALUE"""),"Italy")</f>
        <v>Italy</v>
      </c>
      <c r="I210">
        <f>IFERROR(__xludf.DUMMYFUNCTION("""COMPUTED_VALUE"""),3603.0)</f>
        <v>3603</v>
      </c>
      <c r="J210">
        <f>IFERROR(__xludf.DUMMYFUNCTION("""COMPUTED_VALUE"""),9.0)</f>
        <v>9</v>
      </c>
      <c r="K210">
        <f>IFERROR(__xludf.DUMMYFUNCTION("""COMPUTED_VALUE"""),159.0)</f>
        <v>159</v>
      </c>
      <c r="L210" t="str">
        <f>IFERROR(__xludf.DUMMYFUNCTION("""COMPUTED_VALUE"""),"LPRMGH61A67F052N")</f>
        <v>LPRMGH61A67F052N</v>
      </c>
      <c r="M210">
        <f>IFERROR(__xludf.DUMMYFUNCTION("""COMPUTED_VALUE"""),3.0)</f>
        <v>3</v>
      </c>
      <c r="N210">
        <f>IFERROR(__xludf.DUMMYFUNCTION("""COMPUTED_VALUE"""),42606.0)</f>
        <v>42606</v>
      </c>
      <c r="O210" t="str">
        <f>IFERROR(__xludf.DUMMYFUNCTION("""COMPUTED_VALUE"""),"")</f>
        <v/>
      </c>
    </row>
    <row r="211">
      <c r="A211">
        <f>IFERROR(__xludf.DUMMYFUNCTION("""COMPUTED_VALUE"""),40.6697815835858)</f>
        <v>40.66978158</v>
      </c>
      <c r="B211">
        <f>IFERROR(__xludf.DUMMYFUNCTION("""COMPUTED_VALUE"""),16.6076323506188)</f>
        <v>16.60763235</v>
      </c>
      <c r="C211" t="str">
        <f>IFERROR(__xludf.DUMMYFUNCTION("""COMPUTED_VALUE"""),"Casa Vacanza")</f>
        <v>Casa Vacanza</v>
      </c>
      <c r="D211" t="str">
        <f>IFERROR(__xludf.DUMMYFUNCTION("""COMPUTED_VALUE"""),"IN BOCCA AI SASSI")</f>
        <v>IN BOCCA AI SASSI</v>
      </c>
      <c r="E211" t="str">
        <f>IFERROR(__xludf.DUMMYFUNCTION("""COMPUTED_VALUE"""),"FILOMENA FABRIZIO")</f>
        <v>FILOMENA FABRIZIO</v>
      </c>
      <c r="F211" t="str">
        <f>IFERROR(__xludf.DUMMYFUNCTION("""COMPUTED_VALUE"""),"VIA F. PAOLO FESTA 10 PIAno t.")</f>
        <v>VIA F. PAOLO FESTA 10 PIAno t.</v>
      </c>
      <c r="G211" t="str">
        <f>IFERROR(__xludf.DUMMYFUNCTION("""COMPUTED_VALUE"""),"Matera")</f>
        <v>Matera</v>
      </c>
      <c r="H211" t="str">
        <f>IFERROR(__xludf.DUMMYFUNCTION("""COMPUTED_VALUE"""),"Italy")</f>
        <v>Italy</v>
      </c>
      <c r="I211">
        <f>IFERROR(__xludf.DUMMYFUNCTION("""COMPUTED_VALUE"""),3474.0)</f>
        <v>3474</v>
      </c>
      <c r="J211">
        <f>IFERROR(__xludf.DUMMYFUNCTION("""COMPUTED_VALUE"""),1.0)</f>
        <v>1</v>
      </c>
      <c r="K211">
        <f>IFERROR(__xludf.DUMMYFUNCTION("""COMPUTED_VALUE"""),159.0)</f>
        <v>159</v>
      </c>
      <c r="L211" t="str">
        <f>IFERROR(__xludf.DUMMYFUNCTION("""COMPUTED_VALUE"""),"FBRFMN36A52F052U")</f>
        <v>FBRFMN36A52F052U</v>
      </c>
      <c r="M211">
        <f>IFERROR(__xludf.DUMMYFUNCTION("""COMPUTED_VALUE"""),3.0)</f>
        <v>3</v>
      </c>
      <c r="N211">
        <f>IFERROR(__xludf.DUMMYFUNCTION("""COMPUTED_VALUE"""),42418.0)</f>
        <v>42418</v>
      </c>
      <c r="O211" t="str">
        <f>IFERROR(__xludf.DUMMYFUNCTION("""COMPUTED_VALUE"""),"")</f>
        <v/>
      </c>
    </row>
    <row r="212">
      <c r="A212">
        <f>IFERROR(__xludf.DUMMYFUNCTION("""COMPUTED_VALUE"""),40.6662804)</f>
        <v>40.6662804</v>
      </c>
      <c r="B212">
        <f>IFERROR(__xludf.DUMMYFUNCTION("""COMPUTED_VALUE"""),16.6062283)</f>
        <v>16.6062283</v>
      </c>
      <c r="C212" t="str">
        <f>IFERROR(__xludf.DUMMYFUNCTION("""COMPUTED_VALUE"""),"Casa Vacanza")</f>
        <v>Casa Vacanza</v>
      </c>
      <c r="D212" t="str">
        <f>IFERROR(__xludf.DUMMYFUNCTION("""COMPUTED_VALUE"""),"IN PIAZZA")</f>
        <v>IN PIAZZA</v>
      </c>
      <c r="E212" t="str">
        <f>IFERROR(__xludf.DUMMYFUNCTION("""COMPUTED_VALUE"""),"GUANTI RITA PAOLA")</f>
        <v>GUANTI RITA PAOLA</v>
      </c>
      <c r="F212" t="str">
        <f>IFERROR(__xludf.DUMMYFUNCTION("""COMPUTED_VALUE"""),"VIA ASCANIO PERSIO 2")</f>
        <v>VIA ASCANIO PERSIO 2</v>
      </c>
      <c r="G212" t="str">
        <f>IFERROR(__xludf.DUMMYFUNCTION("""COMPUTED_VALUE"""),"Matera")</f>
        <v>Matera</v>
      </c>
      <c r="H212" t="str">
        <f>IFERROR(__xludf.DUMMYFUNCTION("""COMPUTED_VALUE"""),"Italy")</f>
        <v>Italy</v>
      </c>
      <c r="I212">
        <f>IFERROR(__xludf.DUMMYFUNCTION("""COMPUTED_VALUE"""),2707.0)</f>
        <v>2707</v>
      </c>
      <c r="J212">
        <f>IFERROR(__xludf.DUMMYFUNCTION("""COMPUTED_VALUE"""),9.0)</f>
        <v>9</v>
      </c>
      <c r="K212">
        <f>IFERROR(__xludf.DUMMYFUNCTION("""COMPUTED_VALUE"""),159.0)</f>
        <v>159</v>
      </c>
      <c r="L212" t="str">
        <f>IFERROR(__xludf.DUMMYFUNCTION("""COMPUTED_VALUE"""),"GNTMNT62D47F052Y")</f>
        <v>GNTMNT62D47F052Y</v>
      </c>
      <c r="M212">
        <f>IFERROR(__xludf.DUMMYFUNCTION("""COMPUTED_VALUE"""),6.0)</f>
        <v>6</v>
      </c>
      <c r="N212">
        <f>IFERROR(__xludf.DUMMYFUNCTION("""COMPUTED_VALUE"""),42003.0)</f>
        <v>42003</v>
      </c>
      <c r="O212" t="str">
        <f>IFERROR(__xludf.DUMMYFUNCTION("""COMPUTED_VALUE"""),"")</f>
        <v/>
      </c>
    </row>
    <row r="213">
      <c r="A213">
        <f>IFERROR(__xludf.DUMMYFUNCTION("""COMPUTED_VALUE"""),40.666379)</f>
        <v>40.666379</v>
      </c>
      <c r="B213">
        <f>IFERROR(__xludf.DUMMYFUNCTION("""COMPUTED_VALUE"""),16.6043199)</f>
        <v>16.6043199</v>
      </c>
      <c r="C213" t="str">
        <f>IFERROR(__xludf.DUMMYFUNCTION("""COMPUTED_VALUE"""),"Casa Vacanza")</f>
        <v>Casa Vacanza</v>
      </c>
      <c r="D213" t="str">
        <f>IFERROR(__xludf.DUMMYFUNCTION("""COMPUTED_VALUE"""),"IN PIAZZETTA")</f>
        <v>IN PIAZZETTA</v>
      </c>
      <c r="E213" t="str">
        <f>IFERROR(__xludf.DUMMYFUNCTION("""COMPUTED_VALUE"""),"TRITTO FRANCESCO")</f>
        <v>TRITTO FRANCESCO</v>
      </c>
      <c r="F213" t="str">
        <f>IFERROR(__xludf.DUMMYFUNCTION("""COMPUTED_VALUE"""),"PIAZZETTA E. BRACCO 20")</f>
        <v>PIAZZETTA E. BRACCO 20</v>
      </c>
      <c r="G213" t="str">
        <f>IFERROR(__xludf.DUMMYFUNCTION("""COMPUTED_VALUE"""),"Matera")</f>
        <v>Matera</v>
      </c>
      <c r="H213" t="str">
        <f>IFERROR(__xludf.DUMMYFUNCTION("""COMPUTED_VALUE"""),"Italy")</f>
        <v>Italy</v>
      </c>
      <c r="I213">
        <f>IFERROR(__xludf.DUMMYFUNCTION("""COMPUTED_VALUE"""),2593.0)</f>
        <v>2593</v>
      </c>
      <c r="J213">
        <f>IFERROR(__xludf.DUMMYFUNCTION("""COMPUTED_VALUE"""),12.0)</f>
        <v>12</v>
      </c>
      <c r="K213">
        <f>IFERROR(__xludf.DUMMYFUNCTION("""COMPUTED_VALUE"""),159.0)</f>
        <v>159</v>
      </c>
      <c r="L213" t="str">
        <f>IFERROR(__xludf.DUMMYFUNCTION("""COMPUTED_VALUE"""),"TRTFNC54C23F052P")</f>
        <v>TRTFNC54C23F052P</v>
      </c>
      <c r="M213">
        <f>IFERROR(__xludf.DUMMYFUNCTION("""COMPUTED_VALUE"""),7.0)</f>
        <v>7</v>
      </c>
      <c r="N213">
        <f>IFERROR(__xludf.DUMMYFUNCTION("""COMPUTED_VALUE"""),42221.0)</f>
        <v>42221</v>
      </c>
      <c r="O213" t="str">
        <f>IFERROR(__xludf.DUMMYFUNCTION("""COMPUTED_VALUE"""),"")</f>
        <v/>
      </c>
    </row>
    <row r="214">
      <c r="A214">
        <f>IFERROR(__xludf.DUMMYFUNCTION("""COMPUTED_VALUE"""),40.667135)</f>
        <v>40.667135</v>
      </c>
      <c r="B214">
        <f>IFERROR(__xludf.DUMMYFUNCTION("""COMPUTED_VALUE"""),16.6077736)</f>
        <v>16.6077736</v>
      </c>
      <c r="C214" t="str">
        <f>IFERROR(__xludf.DUMMYFUNCTION("""COMPUTED_VALUE"""),"Casa Vacanza")</f>
        <v>Casa Vacanza</v>
      </c>
      <c r="D214" t="str">
        <f>IFERROR(__xludf.DUMMYFUNCTION("""COMPUTED_VALUE"""),"INMEDIO")</f>
        <v>INMEDIO</v>
      </c>
      <c r="E214" t="str">
        <f>IFERROR(__xludf.DUMMYFUNCTION("""COMPUTED_VALUE"""),"CIFARELLI ANGELA RAFFAELLA")</f>
        <v>CIFARELLI ANGELA RAFFAELLA</v>
      </c>
      <c r="F214" t="str">
        <f>IFERROR(__xludf.DUMMYFUNCTION("""COMPUTED_VALUE"""),"VICO FORNACI VECCHIE 63")</f>
        <v>VICO FORNACI VECCHIE 63</v>
      </c>
      <c r="G214" t="str">
        <f>IFERROR(__xludf.DUMMYFUNCTION("""COMPUTED_VALUE"""),"Matera")</f>
        <v>Matera</v>
      </c>
      <c r="H214" t="str">
        <f>IFERROR(__xludf.DUMMYFUNCTION("""COMPUTED_VALUE"""),"Italy")</f>
        <v>Italy</v>
      </c>
      <c r="I214">
        <f>IFERROR(__xludf.DUMMYFUNCTION("""COMPUTED_VALUE"""),592.0)</f>
        <v>592</v>
      </c>
      <c r="J214">
        <f>IFERROR(__xludf.DUMMYFUNCTION("""COMPUTED_VALUE"""),5.0)</f>
        <v>5</v>
      </c>
      <c r="K214">
        <f>IFERROR(__xludf.DUMMYFUNCTION("""COMPUTED_VALUE"""),159.0)</f>
        <v>159</v>
      </c>
      <c r="L214" t="str">
        <f>IFERROR(__xludf.DUMMYFUNCTION("""COMPUTED_VALUE"""),"CFRNLR58C44F052D")</f>
        <v>CFRNLR58C44F052D</v>
      </c>
      <c r="M214">
        <f>IFERROR(__xludf.DUMMYFUNCTION("""COMPUTED_VALUE"""),4.0)</f>
        <v>4</v>
      </c>
      <c r="N214">
        <f>IFERROR(__xludf.DUMMYFUNCTION("""COMPUTED_VALUE"""),42557.0)</f>
        <v>42557</v>
      </c>
      <c r="O214" t="str">
        <f>IFERROR(__xludf.DUMMYFUNCTION("""COMPUTED_VALUE"""),"")</f>
        <v/>
      </c>
    </row>
    <row r="215">
      <c r="A215">
        <f>IFERROR(__xludf.DUMMYFUNCTION("""COMPUTED_VALUE"""),40.67698)</f>
        <v>40.67698</v>
      </c>
      <c r="B215">
        <f>IFERROR(__xludf.DUMMYFUNCTION("""COMPUTED_VALUE"""),16.579481)</f>
        <v>16.579481</v>
      </c>
      <c r="C215" t="str">
        <f>IFERROR(__xludf.DUMMYFUNCTION("""COMPUTED_VALUE"""),"Casa Vacanza")</f>
        <v>Casa Vacanza</v>
      </c>
      <c r="D215" t="str">
        <f>IFERROR(__xludf.DUMMYFUNCTION("""COMPUTED_VALUE"""),"INTERNO 5")</f>
        <v>INTERNO 5</v>
      </c>
      <c r="E215" t="str">
        <f>IFERROR(__xludf.DUMMYFUNCTION("""COMPUTED_VALUE"""),"SALVATORE CHIRONDE")</f>
        <v>SALVATORE CHIRONDE</v>
      </c>
      <c r="F215" t="str">
        <f>IFERROR(__xludf.DUMMYFUNCTION("""COMPUTED_VALUE"""),"VIA COSENZA 33 INT.5")</f>
        <v>VIA COSENZA 33 INT.5</v>
      </c>
      <c r="G215" t="str">
        <f>IFERROR(__xludf.DUMMYFUNCTION("""COMPUTED_VALUE"""),"Matera")</f>
        <v>Matera</v>
      </c>
      <c r="H215" t="str">
        <f>IFERROR(__xludf.DUMMYFUNCTION("""COMPUTED_VALUE"""),"Italy")</f>
        <v>Italy</v>
      </c>
      <c r="I215">
        <f>IFERROR(__xludf.DUMMYFUNCTION("""COMPUTED_VALUE"""),1514.0)</f>
        <v>1514</v>
      </c>
      <c r="J215">
        <f>IFERROR(__xludf.DUMMYFUNCTION("""COMPUTED_VALUE"""),26.0)</f>
        <v>26</v>
      </c>
      <c r="K215">
        <f>IFERROR(__xludf.DUMMYFUNCTION("""COMPUTED_VALUE"""),67.0)</f>
        <v>67</v>
      </c>
      <c r="L215" t="str">
        <f>IFERROR(__xludf.DUMMYFUNCTION("""COMPUTED_VALUE"""),"CHRSVT75L07F052W")</f>
        <v>CHRSVT75L07F052W</v>
      </c>
      <c r="M215">
        <f>IFERROR(__xludf.DUMMYFUNCTION("""COMPUTED_VALUE"""),2.0)</f>
        <v>2</v>
      </c>
      <c r="N215">
        <f>IFERROR(__xludf.DUMMYFUNCTION("""COMPUTED_VALUE"""),42343.0)</f>
        <v>42343</v>
      </c>
      <c r="O215" t="str">
        <f>IFERROR(__xludf.DUMMYFUNCTION("""COMPUTED_VALUE"""),"")</f>
        <v/>
      </c>
    </row>
    <row r="216">
      <c r="A216">
        <f>IFERROR(__xludf.DUMMYFUNCTION("""COMPUTED_VALUE"""),40.6603319635164)</f>
        <v>40.66033196</v>
      </c>
      <c r="B216">
        <f>IFERROR(__xludf.DUMMYFUNCTION("""COMPUTED_VALUE"""),16.6023662410167)</f>
        <v>16.60236624</v>
      </c>
      <c r="C216" t="str">
        <f>IFERROR(__xludf.DUMMYFUNCTION("""COMPUTED_VALUE"""),"Casa Vacanza")</f>
        <v>Casa Vacanza</v>
      </c>
      <c r="D216" t="str">
        <f>IFERROR(__xludf.DUMMYFUNCTION("""COMPUTED_VALUE"""),"INTERNO-5 civico1")</f>
        <v>INTERNO-5 civico1</v>
      </c>
      <c r="E216" t="str">
        <f>IFERROR(__xludf.DUMMYFUNCTION("""COMPUTED_VALUE"""),"BRUNO OLGA")</f>
        <v>BRUNO OLGA</v>
      </c>
      <c r="F216" t="str">
        <f>IFERROR(__xludf.DUMMYFUNCTION("""COMPUTED_VALUE"""),"VIA DEL CICLAMINO 1")</f>
        <v>VIA DEL CICLAMINO 1</v>
      </c>
      <c r="G216" t="str">
        <f>IFERROR(__xludf.DUMMYFUNCTION("""COMPUTED_VALUE"""),"Matera")</f>
        <v>Matera</v>
      </c>
      <c r="H216" t="str">
        <f>IFERROR(__xludf.DUMMYFUNCTION("""COMPUTED_VALUE"""),"Italy")</f>
        <v>Italy</v>
      </c>
      <c r="I216">
        <f>IFERROR(__xludf.DUMMYFUNCTION("""COMPUTED_VALUE"""),301.0)</f>
        <v>301</v>
      </c>
      <c r="J216">
        <f>IFERROR(__xludf.DUMMYFUNCTION("""COMPUTED_VALUE"""),2.0)</f>
        <v>2</v>
      </c>
      <c r="K216">
        <f>IFERROR(__xludf.DUMMYFUNCTION("""COMPUTED_VALUE"""),101.0)</f>
        <v>101</v>
      </c>
      <c r="L216" t="str">
        <f>IFERROR(__xludf.DUMMYFUNCTION("""COMPUTED_VALUE"""),"BRNLGO71T60F052C")</f>
        <v>BRNLGO71T60F052C</v>
      </c>
      <c r="M216">
        <f>IFERROR(__xludf.DUMMYFUNCTION("""COMPUTED_VALUE"""),3.0)</f>
        <v>3</v>
      </c>
      <c r="N216">
        <f>IFERROR(__xludf.DUMMYFUNCTION("""COMPUTED_VALUE"""),42312.0)</f>
        <v>42312</v>
      </c>
      <c r="O216" t="str">
        <f>IFERROR(__xludf.DUMMYFUNCTION("""COMPUTED_VALUE"""),"")</f>
        <v/>
      </c>
    </row>
    <row r="217">
      <c r="A217">
        <f>IFERROR(__xludf.DUMMYFUNCTION("""COMPUTED_VALUE"""),40.667316)</f>
        <v>40.667316</v>
      </c>
      <c r="B217">
        <f>IFERROR(__xludf.DUMMYFUNCTION("""COMPUTED_VALUE"""),16.607872)</f>
        <v>16.607872</v>
      </c>
      <c r="C217" t="str">
        <f>IFERROR(__xludf.DUMMYFUNCTION("""COMPUTED_VALUE"""),"Casa Vacanza")</f>
        <v>Casa Vacanza</v>
      </c>
      <c r="D217" t="str">
        <f>IFERROR(__xludf.DUMMYFUNCTION("""COMPUTED_VALUE"""),"INVIAROSARIO")</f>
        <v>INVIAROSARIO</v>
      </c>
      <c r="E217" t="str">
        <f>IFERROR(__xludf.DUMMYFUNCTION("""COMPUTED_VALUE"""),"PAOLA CAPRIOTTI")</f>
        <v>PAOLA CAPRIOTTI</v>
      </c>
      <c r="F217" t="str">
        <f>IFERROR(__xludf.DUMMYFUNCTION("""COMPUTED_VALUE"""),"VIA ROSARIO 73/BIS E 65")</f>
        <v>VIA ROSARIO 73/BIS E 65</v>
      </c>
      <c r="G217" t="str">
        <f>IFERROR(__xludf.DUMMYFUNCTION("""COMPUTED_VALUE"""),"Matera")</f>
        <v>Matera</v>
      </c>
      <c r="H217" t="str">
        <f>IFERROR(__xludf.DUMMYFUNCTION("""COMPUTED_VALUE"""),"Italy")</f>
        <v>Italy</v>
      </c>
      <c r="I217">
        <f>IFERROR(__xludf.DUMMYFUNCTION("""COMPUTED_VALUE"""),606.0)</f>
        <v>606</v>
      </c>
      <c r="J217">
        <f>IFERROR(__xludf.DUMMYFUNCTION("""COMPUTED_VALUE"""),3.0)</f>
        <v>3</v>
      </c>
      <c r="K217">
        <f>IFERROR(__xludf.DUMMYFUNCTION("""COMPUTED_VALUE"""),159.0)</f>
        <v>159</v>
      </c>
      <c r="L217" t="str">
        <f>IFERROR(__xludf.DUMMYFUNCTION("""COMPUTED_VALUE"""),"CPRPLA63H53F052G")</f>
        <v>CPRPLA63H53F052G</v>
      </c>
      <c r="M217">
        <f>IFERROR(__xludf.DUMMYFUNCTION("""COMPUTED_VALUE"""),4.0)</f>
        <v>4</v>
      </c>
      <c r="N217">
        <f>IFERROR(__xludf.DUMMYFUNCTION("""COMPUTED_VALUE"""),42955.0)</f>
        <v>42955</v>
      </c>
      <c r="O217" t="str">
        <f>IFERROR(__xludf.DUMMYFUNCTION("""COMPUTED_VALUE"""),"")</f>
        <v/>
      </c>
    </row>
    <row r="218">
      <c r="A218">
        <f>IFERROR(__xludf.DUMMYFUNCTION("""COMPUTED_VALUE"""),40.6714879892944)</f>
        <v>40.67148799</v>
      </c>
      <c r="B218">
        <f>IFERROR(__xludf.DUMMYFUNCTION("""COMPUTED_VALUE"""),16.582052427806)</f>
        <v>16.58205243</v>
      </c>
      <c r="C218" t="str">
        <f>IFERROR(__xludf.DUMMYFUNCTION("""COMPUTED_VALUE"""),"Casa Vacanza")</f>
        <v>Casa Vacanza</v>
      </c>
      <c r="D218" t="str">
        <f>IFERROR(__xludf.DUMMYFUNCTION("""COMPUTED_VALUE"""),"ITACA")</f>
        <v>ITACA</v>
      </c>
      <c r="E218" t="str">
        <f>IFERROR(__xludf.DUMMYFUNCTION("""COMPUTED_VALUE"""),"OLIVIERI MARIA GIOVANNA")</f>
        <v>OLIVIERI MARIA GIOVANNA</v>
      </c>
      <c r="F218" t="str">
        <f>IFERROR(__xludf.DUMMYFUNCTION("""COMPUTED_VALUE"""),"VIA BRADANO 11 INTERNO 9")</f>
        <v>VIA BRADANO 11 INTERNO 9</v>
      </c>
      <c r="G218" t="str">
        <f>IFERROR(__xludf.DUMMYFUNCTION("""COMPUTED_VALUE"""),"Matera")</f>
        <v>Matera</v>
      </c>
      <c r="H218" t="str">
        <f>IFERROR(__xludf.DUMMYFUNCTION("""COMPUTED_VALUE"""),"Italy")</f>
        <v>Italy</v>
      </c>
      <c r="I218">
        <f>IFERROR(__xludf.DUMMYFUNCTION("""COMPUTED_VALUE"""),1161.0)</f>
        <v>1161</v>
      </c>
      <c r="J218">
        <f>IFERROR(__xludf.DUMMYFUNCTION("""COMPUTED_VALUE"""),33.0)</f>
        <v>33</v>
      </c>
      <c r="K218">
        <f>IFERROR(__xludf.DUMMYFUNCTION("""COMPUTED_VALUE"""),67.0)</f>
        <v>67</v>
      </c>
      <c r="L218" t="str">
        <f>IFERROR(__xludf.DUMMYFUNCTION("""COMPUTED_VALUE"""),"LVRMGV57A57F052K")</f>
        <v>LVRMGV57A57F052K</v>
      </c>
      <c r="M218">
        <f>IFERROR(__xludf.DUMMYFUNCTION("""COMPUTED_VALUE"""),4.0)</f>
        <v>4</v>
      </c>
      <c r="N218">
        <f>IFERROR(__xludf.DUMMYFUNCTION("""COMPUTED_VALUE"""),42627.0)</f>
        <v>42627</v>
      </c>
      <c r="O218" t="str">
        <f>IFERROR(__xludf.DUMMYFUNCTION("""COMPUTED_VALUE"""),"")</f>
        <v/>
      </c>
    </row>
    <row r="219">
      <c r="A219">
        <f>IFERROR(__xludf.DUMMYFUNCTION("""COMPUTED_VALUE"""),40.6656279001392)</f>
        <v>40.6656279</v>
      </c>
      <c r="B219">
        <f>IFERROR(__xludf.DUMMYFUNCTION("""COMPUTED_VALUE"""),16.6051909204254)</f>
        <v>16.60519092</v>
      </c>
      <c r="C219" t="str">
        <f>IFERROR(__xludf.DUMMYFUNCTION("""COMPUTED_VALUE"""),"Casa Vacanza")</f>
        <v>Casa Vacanza</v>
      </c>
      <c r="D219" t="str">
        <f>IFERROR(__xludf.DUMMYFUNCTION("""COMPUTED_VALUE"""),"KLIMT")</f>
        <v>KLIMT</v>
      </c>
      <c r="E219" t="str">
        <f>IFERROR(__xludf.DUMMYFUNCTION("""COMPUTED_VALUE"""),"OLIVIERI EMILIA")</f>
        <v>OLIVIERI EMILIA</v>
      </c>
      <c r="F219" t="str">
        <f>IFERROR(__xludf.DUMMYFUNCTION("""COMPUTED_VALUE"""),"VIA PASSARELLI 9")</f>
        <v>VIA PASSARELLI 9</v>
      </c>
      <c r="G219" t="str">
        <f>IFERROR(__xludf.DUMMYFUNCTION("""COMPUTED_VALUE"""),"Matera")</f>
        <v>Matera</v>
      </c>
      <c r="H219" t="str">
        <f>IFERROR(__xludf.DUMMYFUNCTION("""COMPUTED_VALUE"""),"Italy")</f>
        <v>Italy</v>
      </c>
      <c r="I219">
        <f>IFERROR(__xludf.DUMMYFUNCTION("""COMPUTED_VALUE"""),189.0)</f>
        <v>189</v>
      </c>
      <c r="J219">
        <f>IFERROR(__xludf.DUMMYFUNCTION("""COMPUTED_VALUE"""),44.0)</f>
        <v>44</v>
      </c>
      <c r="K219">
        <f>IFERROR(__xludf.DUMMYFUNCTION("""COMPUTED_VALUE"""),103.0)</f>
        <v>103</v>
      </c>
      <c r="L219" t="str">
        <f>IFERROR(__xludf.DUMMYFUNCTION("""COMPUTED_VALUE"""),"LVRMLE65B61F052R")</f>
        <v>LVRMLE65B61F052R</v>
      </c>
      <c r="M219">
        <f>IFERROR(__xludf.DUMMYFUNCTION("""COMPUTED_VALUE"""),4.0)</f>
        <v>4</v>
      </c>
      <c r="N219">
        <f>IFERROR(__xludf.DUMMYFUNCTION("""COMPUTED_VALUE"""),43214.0)</f>
        <v>43214</v>
      </c>
      <c r="O219" t="str">
        <f>IFERROR(__xludf.DUMMYFUNCTION("""COMPUTED_VALUE"""),"")</f>
        <v/>
      </c>
    </row>
    <row r="220">
      <c r="A220">
        <f>IFERROR(__xludf.DUMMYFUNCTION("""COMPUTED_VALUE"""),40.664933)</f>
        <v>40.664933</v>
      </c>
      <c r="B220">
        <f>IFERROR(__xludf.DUMMYFUNCTION("""COMPUTED_VALUE"""),16.610416)</f>
        <v>16.610416</v>
      </c>
      <c r="C220" t="str">
        <f>IFERROR(__xludf.DUMMYFUNCTION("""COMPUTED_VALUE"""),"Casa Vacanza")</f>
        <v>Casa Vacanza</v>
      </c>
      <c r="D220" t="str">
        <f>IFERROR(__xludf.DUMMYFUNCTION("""COMPUTED_VALUE"""),"L'AFFACCIO")</f>
        <v>L'AFFACCIO</v>
      </c>
      <c r="E220" t="str">
        <f>IFERROR(__xludf.DUMMYFUNCTION("""COMPUTED_VALUE"""),"DIFONZO ANGELA")</f>
        <v>DIFONZO ANGELA</v>
      </c>
      <c r="F220" t="str">
        <f>IFERROR(__xludf.DUMMYFUNCTION("""COMPUTED_VALUE"""),"VIA PENNINO 11")</f>
        <v>VIA PENNINO 11</v>
      </c>
      <c r="G220" t="str">
        <f>IFERROR(__xludf.DUMMYFUNCTION("""COMPUTED_VALUE"""),"Matera")</f>
        <v>Matera</v>
      </c>
      <c r="H220" t="str">
        <f>IFERROR(__xludf.DUMMYFUNCTION("""COMPUTED_VALUE"""),"Italy")</f>
        <v>Italy</v>
      </c>
      <c r="I220" t="str">
        <f>IFERROR(__xludf.DUMMYFUNCTION("""COMPUTED_VALUE"""),"")</f>
        <v/>
      </c>
      <c r="J220" t="str">
        <f>IFERROR(__xludf.DUMMYFUNCTION("""COMPUTED_VALUE"""),"")</f>
        <v/>
      </c>
      <c r="K220" t="str">
        <f>IFERROR(__xludf.DUMMYFUNCTION("""COMPUTED_VALUE"""),"")</f>
        <v/>
      </c>
      <c r="L220" t="str">
        <f>IFERROR(__xludf.DUMMYFUNCTION("""COMPUTED_VALUE"""),"dfngl73a56i330b")</f>
        <v>dfngl73a56i330b</v>
      </c>
      <c r="M220" t="str">
        <f>IFERROR(__xludf.DUMMYFUNCTION("""COMPUTED_VALUE"""),"")</f>
        <v/>
      </c>
      <c r="N220" t="str">
        <f>IFERROR(__xludf.DUMMYFUNCTION("""COMPUTED_VALUE"""),"")</f>
        <v/>
      </c>
      <c r="O220" t="str">
        <f>IFERROR(__xludf.DUMMYFUNCTION("""COMPUTED_VALUE"""),"")</f>
        <v/>
      </c>
    </row>
    <row r="221">
      <c r="A221">
        <f>IFERROR(__xludf.DUMMYFUNCTION("""COMPUTED_VALUE"""),40.668147)</f>
        <v>40.668147</v>
      </c>
      <c r="B221">
        <f>IFERROR(__xludf.DUMMYFUNCTION("""COMPUTED_VALUE"""),16.609776)</f>
        <v>16.609776</v>
      </c>
      <c r="C221" t="str">
        <f>IFERROR(__xludf.DUMMYFUNCTION("""COMPUTED_VALUE"""),"Casa Vacanza")</f>
        <v>Casa Vacanza</v>
      </c>
      <c r="D221" t="str">
        <f>IFERROR(__xludf.DUMMYFUNCTION("""COMPUTED_VALUE"""),"L'AFFACCIO DELL'ABATE")</f>
        <v>L'AFFACCIO DELL'ABATE</v>
      </c>
      <c r="E221" t="str">
        <f>IFERROR(__xludf.DUMMYFUNCTION("""COMPUTED_VALUE"""),"NICOLETTI DOMENICO")</f>
        <v>NICOLETTI DOMENICO</v>
      </c>
      <c r="F221" t="str">
        <f>IFERROR(__xludf.DUMMYFUNCTION("""COMPUTED_VALUE"""),"VIA D'ADDOZIO 18")</f>
        <v>VIA D'ADDOZIO 18</v>
      </c>
      <c r="G221" t="str">
        <f>IFERROR(__xludf.DUMMYFUNCTION("""COMPUTED_VALUE"""),"Matera")</f>
        <v>Matera</v>
      </c>
      <c r="H221" t="str">
        <f>IFERROR(__xludf.DUMMYFUNCTION("""COMPUTED_VALUE"""),"Italy")</f>
        <v>Italy</v>
      </c>
      <c r="I221">
        <f>IFERROR(__xludf.DUMMYFUNCTION("""COMPUTED_VALUE"""),72.0)</f>
        <v>72</v>
      </c>
      <c r="J221">
        <f>IFERROR(__xludf.DUMMYFUNCTION("""COMPUTED_VALUE"""),4.0)</f>
        <v>4</v>
      </c>
      <c r="K221">
        <f>IFERROR(__xludf.DUMMYFUNCTION("""COMPUTED_VALUE"""),159.0)</f>
        <v>159</v>
      </c>
      <c r="L221" t="str">
        <f>IFERROR(__xludf.DUMMYFUNCTION("""COMPUTED_VALUE"""),"NCLVCN61D12A662Q")</f>
        <v>NCLVCN61D12A662Q</v>
      </c>
      <c r="M221">
        <f>IFERROR(__xludf.DUMMYFUNCTION("""COMPUTED_VALUE"""),5.0)</f>
        <v>5</v>
      </c>
      <c r="N221">
        <f>IFERROR(__xludf.DUMMYFUNCTION("""COMPUTED_VALUE"""),42619.0)</f>
        <v>42619</v>
      </c>
      <c r="O221" t="str">
        <f>IFERROR(__xludf.DUMMYFUNCTION("""COMPUTED_VALUE"""),"")</f>
        <v/>
      </c>
    </row>
    <row r="222">
      <c r="A222">
        <f>IFERROR(__xludf.DUMMYFUNCTION("""COMPUTED_VALUE"""),40.6629683947668)</f>
        <v>40.66296839</v>
      </c>
      <c r="B222">
        <f>IFERROR(__xludf.DUMMYFUNCTION("""COMPUTED_VALUE"""),16.6091829197688)</f>
        <v>16.60918292</v>
      </c>
      <c r="C222" t="str">
        <f>IFERROR(__xludf.DUMMYFUNCTION("""COMPUTED_VALUE"""),"Casa Vacanza")</f>
        <v>Casa Vacanza</v>
      </c>
      <c r="D222" t="str">
        <f>IFERROR(__xludf.DUMMYFUNCTION("""COMPUTED_VALUE"""),"L'ALBERO DELLA VITA")</f>
        <v>L'ALBERO DELLA VITA</v>
      </c>
      <c r="E222" t="str">
        <f>IFERROR(__xludf.DUMMYFUNCTION("""COMPUTED_VALUE"""),"MICHELA CHITA")</f>
        <v>MICHELA CHITA</v>
      </c>
      <c r="F222" t="str">
        <f>IFERROR(__xludf.DUMMYFUNCTION("""COMPUTED_VALUE"""),"VICO SECONDO DUNI 10")</f>
        <v>VICO SECONDO DUNI 10</v>
      </c>
      <c r="G222" t="str">
        <f>IFERROR(__xludf.DUMMYFUNCTION("""COMPUTED_VALUE"""),"Matera")</f>
        <v>Matera</v>
      </c>
      <c r="H222" t="str">
        <f>IFERROR(__xludf.DUMMYFUNCTION("""COMPUTED_VALUE"""),"Italy")</f>
        <v>Italy</v>
      </c>
      <c r="I222">
        <f>IFERROR(__xludf.DUMMYFUNCTION("""COMPUTED_VALUE"""),3004.0)</f>
        <v>3004</v>
      </c>
      <c r="J222">
        <f>IFERROR(__xludf.DUMMYFUNCTION("""COMPUTED_VALUE"""),9.0)</f>
        <v>9</v>
      </c>
      <c r="K222">
        <f>IFERROR(__xludf.DUMMYFUNCTION("""COMPUTED_VALUE"""),159.0)</f>
        <v>159</v>
      </c>
      <c r="L222" t="str">
        <f>IFERROR(__xludf.DUMMYFUNCTION("""COMPUTED_VALUE"""),"CHTMHL72C70F052K")</f>
        <v>CHTMHL72C70F052K</v>
      </c>
      <c r="M222">
        <f>IFERROR(__xludf.DUMMYFUNCTION("""COMPUTED_VALUE"""),7.0)</f>
        <v>7</v>
      </c>
      <c r="N222">
        <f>IFERROR(__xludf.DUMMYFUNCTION("""COMPUTED_VALUE"""),43238.0)</f>
        <v>43238</v>
      </c>
      <c r="O222" t="str">
        <f>IFERROR(__xludf.DUMMYFUNCTION("""COMPUTED_VALUE"""),"")</f>
        <v/>
      </c>
    </row>
    <row r="223">
      <c r="A223">
        <f>IFERROR(__xludf.DUMMYFUNCTION("""COMPUTED_VALUE"""),40.6642276864936)</f>
        <v>40.66422769</v>
      </c>
      <c r="B223">
        <f>IFERROR(__xludf.DUMMYFUNCTION("""COMPUTED_VALUE"""),16.6000913657942)</f>
        <v>16.60009137</v>
      </c>
      <c r="C223" t="str">
        <f>IFERROR(__xludf.DUMMYFUNCTION("""COMPUTED_VALUE"""),"Casa Vacanza")</f>
        <v>Casa Vacanza</v>
      </c>
      <c r="D223" t="str">
        <f>IFERROR(__xludf.DUMMYFUNCTION("""COMPUTED_VALUE"""),"L'ALBERO DI FAMIGLIA")</f>
        <v>L'ALBERO DI FAMIGLIA</v>
      </c>
      <c r="E223" t="str">
        <f>IFERROR(__xludf.DUMMYFUNCTION("""COMPUTED_VALUE"""),"NUNZIA IACOVONE")</f>
        <v>NUNZIA IACOVONE</v>
      </c>
      <c r="F223" t="str">
        <f>IFERROR(__xludf.DUMMYFUNCTION("""COMPUTED_VALUE"""),"VICO III CAPPELLUTI 4")</f>
        <v>VICO III CAPPELLUTI 4</v>
      </c>
      <c r="G223" t="str">
        <f>IFERROR(__xludf.DUMMYFUNCTION("""COMPUTED_VALUE"""),"Matera")</f>
        <v>Matera</v>
      </c>
      <c r="H223" t="str">
        <f>IFERROR(__xludf.DUMMYFUNCTION("""COMPUTED_VALUE"""),"Italy")</f>
        <v>Italy</v>
      </c>
      <c r="I223">
        <f>IFERROR(__xludf.DUMMYFUNCTION("""COMPUTED_VALUE"""),448.0)</f>
        <v>448</v>
      </c>
      <c r="J223">
        <f>IFERROR(__xludf.DUMMYFUNCTION("""COMPUTED_VALUE"""),9.0)</f>
        <v>9</v>
      </c>
      <c r="K223">
        <f>IFERROR(__xludf.DUMMYFUNCTION("""COMPUTED_VALUE"""),71.0)</f>
        <v>71</v>
      </c>
      <c r="L223" t="str">
        <f>IFERROR(__xludf.DUMMYFUNCTION("""COMPUTED_VALUE"""),"CVNNNZ68S43F052K")</f>
        <v>CVNNNZ68S43F052K</v>
      </c>
      <c r="M223">
        <f>IFERROR(__xludf.DUMMYFUNCTION("""COMPUTED_VALUE"""),2.0)</f>
        <v>2</v>
      </c>
      <c r="N223">
        <f>IFERROR(__xludf.DUMMYFUNCTION("""COMPUTED_VALUE"""),42661.0)</f>
        <v>42661</v>
      </c>
      <c r="O223">
        <f>IFERROR(__xludf.DUMMYFUNCTION("""COMPUTED_VALUE"""),1940.0)</f>
        <v>1940</v>
      </c>
    </row>
    <row r="224">
      <c r="A224">
        <f>IFERROR(__xludf.DUMMYFUNCTION("""COMPUTED_VALUE"""),40.6633019)</f>
        <v>40.6633019</v>
      </c>
      <c r="B224">
        <f>IFERROR(__xludf.DUMMYFUNCTION("""COMPUTED_VALUE"""),16.6108916)</f>
        <v>16.6108916</v>
      </c>
      <c r="C224" t="str">
        <f>IFERROR(__xludf.DUMMYFUNCTION("""COMPUTED_VALUE"""),"Casa Vacanza")</f>
        <v>Casa Vacanza</v>
      </c>
      <c r="D224" t="str">
        <f>IFERROR(__xludf.DUMMYFUNCTION("""COMPUTED_VALUE"""),"L'ANGOLO DE POETA")</f>
        <v>L'ANGOLO DE POETA</v>
      </c>
      <c r="E224" t="str">
        <f>IFERROR(__xludf.DUMMYFUNCTION("""COMPUTED_VALUE"""),"ANNA STRADA")</f>
        <v>ANNA STRADA</v>
      </c>
      <c r="F224" t="str">
        <f>IFERROR(__xludf.DUMMYFUNCTION("""COMPUTED_VALUE"""),"CALATA DOMENICO RIDOLA 63")</f>
        <v>CALATA DOMENICO RIDOLA 63</v>
      </c>
      <c r="G224" t="str">
        <f>IFERROR(__xludf.DUMMYFUNCTION("""COMPUTED_VALUE"""),"Matera")</f>
        <v>Matera</v>
      </c>
      <c r="H224" t="str">
        <f>IFERROR(__xludf.DUMMYFUNCTION("""COMPUTED_VALUE"""),"Italy")</f>
        <v>Italy</v>
      </c>
      <c r="I224">
        <f>IFERROR(__xludf.DUMMYFUNCTION("""COMPUTED_VALUE"""),1994.0)</f>
        <v>1994</v>
      </c>
      <c r="J224">
        <f>IFERROR(__xludf.DUMMYFUNCTION("""COMPUTED_VALUE"""),2.0)</f>
        <v>2</v>
      </c>
      <c r="K224">
        <f>IFERROR(__xludf.DUMMYFUNCTION("""COMPUTED_VALUE"""),159.0)</f>
        <v>159</v>
      </c>
      <c r="L224" t="str">
        <f>IFERROR(__xludf.DUMMYFUNCTION("""COMPUTED_VALUE"""),"STRNMR69D48A662L")</f>
        <v>STRNMR69D48A662L</v>
      </c>
      <c r="M224">
        <f>IFERROR(__xludf.DUMMYFUNCTION("""COMPUTED_VALUE"""),2.0)</f>
        <v>2</v>
      </c>
      <c r="N224" t="str">
        <f>IFERROR(__xludf.DUMMYFUNCTION("""COMPUTED_VALUE"""),"")</f>
        <v/>
      </c>
      <c r="O224" t="str">
        <f>IFERROR(__xludf.DUMMYFUNCTION("""COMPUTED_VALUE"""),"")</f>
        <v/>
      </c>
    </row>
    <row r="225">
      <c r="A225">
        <f>IFERROR(__xludf.DUMMYFUNCTION("""COMPUTED_VALUE"""),40.67243)</f>
        <v>40.67243</v>
      </c>
      <c r="B225">
        <f>IFERROR(__xludf.DUMMYFUNCTION("""COMPUTED_VALUE"""),16.6013056)</f>
        <v>16.6013056</v>
      </c>
      <c r="C225" t="str">
        <f>IFERROR(__xludf.DUMMYFUNCTION("""COMPUTED_VALUE"""),"Casa Vacanza")</f>
        <v>Casa Vacanza</v>
      </c>
      <c r="D225" t="str">
        <f>IFERROR(__xludf.DUMMYFUNCTION("""COMPUTED_VALUE"""),"L'ANGOLO DEL PARCO")</f>
        <v>L'ANGOLO DEL PARCO</v>
      </c>
      <c r="E225" t="str">
        <f>IFERROR(__xludf.DUMMYFUNCTION("""COMPUTED_VALUE"""),"ZACCARO F. PAOLO")</f>
        <v>ZACCARO F. PAOLO</v>
      </c>
      <c r="F225" t="str">
        <f>IFERROR(__xludf.DUMMYFUNCTION("""COMPUTED_VALUE"""),"VIA DELLA CROCE 1")</f>
        <v>VIA DELLA CROCE 1</v>
      </c>
      <c r="G225" t="str">
        <f>IFERROR(__xludf.DUMMYFUNCTION("""COMPUTED_VALUE"""),"Matera")</f>
        <v>Matera</v>
      </c>
      <c r="H225" t="str">
        <f>IFERROR(__xludf.DUMMYFUNCTION("""COMPUTED_VALUE"""),"Italy")</f>
        <v>Italy</v>
      </c>
      <c r="I225">
        <f>IFERROR(__xludf.DUMMYFUNCTION("""COMPUTED_VALUE"""),968.0)</f>
        <v>968</v>
      </c>
      <c r="J225">
        <f>IFERROR(__xludf.DUMMYFUNCTION("""COMPUTED_VALUE"""),14.0)</f>
        <v>14</v>
      </c>
      <c r="K225">
        <f>IFERROR(__xludf.DUMMYFUNCTION("""COMPUTED_VALUE"""),71.0)</f>
        <v>71</v>
      </c>
      <c r="L225" t="str">
        <f>IFERROR(__xludf.DUMMYFUNCTION("""COMPUTED_VALUE"""),"ZCCFNC55B07F052E")</f>
        <v>ZCCFNC55B07F052E</v>
      </c>
      <c r="M225">
        <f>IFERROR(__xludf.DUMMYFUNCTION("""COMPUTED_VALUE"""),6.0)</f>
        <v>6</v>
      </c>
      <c r="N225" t="str">
        <f>IFERROR(__xludf.DUMMYFUNCTION("""COMPUTED_VALUE"""),"")</f>
        <v/>
      </c>
      <c r="O225" t="str">
        <f>IFERROR(__xludf.DUMMYFUNCTION("""COMPUTED_VALUE"""),"")</f>
        <v/>
      </c>
    </row>
    <row r="226">
      <c r="A226">
        <f>IFERROR(__xludf.DUMMYFUNCTION("""COMPUTED_VALUE"""),40.6661359)</f>
        <v>40.6661359</v>
      </c>
      <c r="B226">
        <f>IFERROR(__xludf.DUMMYFUNCTION("""COMPUTED_VALUE"""),16.6117184)</f>
        <v>16.6117184</v>
      </c>
      <c r="C226" t="str">
        <f>IFERROR(__xludf.DUMMYFUNCTION("""COMPUTED_VALUE"""),"Casa Vacanza")</f>
        <v>Casa Vacanza</v>
      </c>
      <c r="D226" t="str">
        <f>IFERROR(__xludf.DUMMYFUNCTION("""COMPUTED_VALUE"""),"L'ANGOLO DEL POETA SUITE ESSENCE --IDYLLE")</f>
        <v>L'ANGOLO DEL POETA SUITE ESSENCE --IDYLLE</v>
      </c>
      <c r="E226" t="str">
        <f>IFERROR(__xludf.DUMMYFUNCTION("""COMPUTED_VALUE"""),"STRADA ANNA MARIA")</f>
        <v>STRADA ANNA MARIA</v>
      </c>
      <c r="F226" t="str">
        <f>IFERROR(__xludf.DUMMYFUNCTION("""COMPUTED_VALUE"""),"VIA MURO 4/A--4/B")</f>
        <v>VIA MURO 4/A--4/B</v>
      </c>
      <c r="G226" t="str">
        <f>IFERROR(__xludf.DUMMYFUNCTION("""COMPUTED_VALUE"""),"Matera")</f>
        <v>Matera</v>
      </c>
      <c r="H226" t="str">
        <f>IFERROR(__xludf.DUMMYFUNCTION("""COMPUTED_VALUE"""),"Italy")</f>
        <v>Italy</v>
      </c>
      <c r="I226">
        <f>IFERROR(__xludf.DUMMYFUNCTION("""COMPUTED_VALUE"""),1395.0)</f>
        <v>1395</v>
      </c>
      <c r="J226">
        <f>IFERROR(__xludf.DUMMYFUNCTION("""COMPUTED_VALUE"""),2.0)</f>
        <v>2</v>
      </c>
      <c r="K226">
        <f>IFERROR(__xludf.DUMMYFUNCTION("""COMPUTED_VALUE"""),159.0)</f>
        <v>159</v>
      </c>
      <c r="L226" t="str">
        <f>IFERROR(__xludf.DUMMYFUNCTION("""COMPUTED_VALUE"""),"STRNMR69D48A662L")</f>
        <v>STRNMR69D48A662L</v>
      </c>
      <c r="M226">
        <f>IFERROR(__xludf.DUMMYFUNCTION("""COMPUTED_VALUE"""),4.0)</f>
        <v>4</v>
      </c>
      <c r="N226">
        <f>IFERROR(__xludf.DUMMYFUNCTION("""COMPUTED_VALUE"""),43074.0)</f>
        <v>43074</v>
      </c>
      <c r="O226" t="str">
        <f>IFERROR(__xludf.DUMMYFUNCTION("""COMPUTED_VALUE"""),"")</f>
        <v/>
      </c>
    </row>
    <row r="227">
      <c r="A227">
        <f>IFERROR(__xludf.DUMMYFUNCTION("""COMPUTED_VALUE"""),40.6661714364971)</f>
        <v>40.66617144</v>
      </c>
      <c r="B227">
        <f>IFERROR(__xludf.DUMMYFUNCTION("""COMPUTED_VALUE"""),16.6117550868206)</f>
        <v>16.61175509</v>
      </c>
      <c r="C227" t="str">
        <f>IFERROR(__xludf.DUMMYFUNCTION("""COMPUTED_VALUE"""),"Casa Vacanza")</f>
        <v>Casa Vacanza</v>
      </c>
      <c r="D227" t="str">
        <f>IFERROR(__xludf.DUMMYFUNCTION("""COMPUTED_VALUE"""),"L'ANGOLO DEL POETASUITE2")</f>
        <v>L'ANGOLO DEL POETASUITE2</v>
      </c>
      <c r="E227" t="str">
        <f>IFERROR(__xludf.DUMMYFUNCTION("""COMPUTED_VALUE"""),"STRADA ANNAMARIA")</f>
        <v>STRADA ANNAMARIA</v>
      </c>
      <c r="F227" t="str">
        <f>IFERROR(__xludf.DUMMYFUNCTION("""COMPUTED_VALUE"""),"VIA MURO4B-5")</f>
        <v>VIA MURO4B-5</v>
      </c>
      <c r="G227" t="str">
        <f>IFERROR(__xludf.DUMMYFUNCTION("""COMPUTED_VALUE"""),"Matera")</f>
        <v>Matera</v>
      </c>
      <c r="H227" t="str">
        <f>IFERROR(__xludf.DUMMYFUNCTION("""COMPUTED_VALUE"""),"Italy")</f>
        <v>Italy</v>
      </c>
      <c r="I227">
        <f>IFERROR(__xludf.DUMMYFUNCTION("""COMPUTED_VALUE"""),1426.0)</f>
        <v>1426</v>
      </c>
      <c r="J227">
        <f>IFERROR(__xludf.DUMMYFUNCTION("""COMPUTED_VALUE"""),14.0)</f>
        <v>14</v>
      </c>
      <c r="K227">
        <f>IFERROR(__xludf.DUMMYFUNCTION("""COMPUTED_VALUE"""),159.0)</f>
        <v>159</v>
      </c>
      <c r="L227" t="str">
        <f>IFERROR(__xludf.DUMMYFUNCTION("""COMPUTED_VALUE"""),"STRNMR69D48A662L")</f>
        <v>STRNMR69D48A662L</v>
      </c>
      <c r="M227">
        <f>IFERROR(__xludf.DUMMYFUNCTION("""COMPUTED_VALUE"""),6.0)</f>
        <v>6</v>
      </c>
      <c r="N227" t="str">
        <f>IFERROR(__xludf.DUMMYFUNCTION("""COMPUTED_VALUE"""),"")</f>
        <v/>
      </c>
      <c r="O227" t="str">
        <f>IFERROR(__xludf.DUMMYFUNCTION("""COMPUTED_VALUE"""),"")</f>
        <v/>
      </c>
    </row>
    <row r="228">
      <c r="A228">
        <f>IFERROR(__xludf.DUMMYFUNCTION("""COMPUTED_VALUE"""),40.6683512216697)</f>
        <v>40.66835122</v>
      </c>
      <c r="B228">
        <f>IFERROR(__xludf.DUMMYFUNCTION("""COMPUTED_VALUE"""),16.6102468732922)</f>
        <v>16.61024687</v>
      </c>
      <c r="C228" t="str">
        <f>IFERROR(__xludf.DUMMYFUNCTION("""COMPUTED_VALUE"""),"Casa Vacanza")</f>
        <v>Casa Vacanza</v>
      </c>
      <c r="D228" t="str">
        <f>IFERROR(__xludf.DUMMYFUNCTION("""COMPUTED_VALUE"""),"L'ANGOLO FIORITO")</f>
        <v>L'ANGOLO FIORITO</v>
      </c>
      <c r="E228" t="str">
        <f>IFERROR(__xludf.DUMMYFUNCTION("""COMPUTED_VALUE"""),"PELLICORO DAMIANA")</f>
        <v>PELLICORO DAMIANA</v>
      </c>
      <c r="F228" t="str">
        <f>IFERROR(__xludf.DUMMYFUNCTION("""COMPUTED_VALUE"""),"VIA S'ANTONIO ABATE 20")</f>
        <v>VIA S'ANTONIO ABATE 20</v>
      </c>
      <c r="G228" t="str">
        <f>IFERROR(__xludf.DUMMYFUNCTION("""COMPUTED_VALUE"""),"Matera")</f>
        <v>Matera</v>
      </c>
      <c r="H228" t="str">
        <f>IFERROR(__xludf.DUMMYFUNCTION("""COMPUTED_VALUE"""),"Italy")</f>
        <v>Italy</v>
      </c>
      <c r="I228">
        <f>IFERROR(__xludf.DUMMYFUNCTION("""COMPUTED_VALUE"""),1008.0)</f>
        <v>1008</v>
      </c>
      <c r="J228">
        <f>IFERROR(__xludf.DUMMYFUNCTION("""COMPUTED_VALUE"""),3.0)</f>
        <v>3</v>
      </c>
      <c r="K228">
        <f>IFERROR(__xludf.DUMMYFUNCTION("""COMPUTED_VALUE"""),159.0)</f>
        <v>159</v>
      </c>
      <c r="L228" t="str">
        <f>IFERROR(__xludf.DUMMYFUNCTION("""COMPUTED_VALUE"""),"PLLDMN49C53E036G")</f>
        <v>PLLDMN49C53E036G</v>
      </c>
      <c r="M228">
        <f>IFERROR(__xludf.DUMMYFUNCTION("""COMPUTED_VALUE"""),4.0)</f>
        <v>4</v>
      </c>
      <c r="N228">
        <f>IFERROR(__xludf.DUMMYFUNCTION("""COMPUTED_VALUE"""),42444.0)</f>
        <v>42444</v>
      </c>
      <c r="O228" t="str">
        <f>IFERROR(__xludf.DUMMYFUNCTION("""COMPUTED_VALUE"""),"")</f>
        <v/>
      </c>
    </row>
    <row r="229">
      <c r="A229">
        <f>IFERROR(__xludf.DUMMYFUNCTION("""COMPUTED_VALUE"""),40.67243)</f>
        <v>40.67243</v>
      </c>
      <c r="B229">
        <f>IFERROR(__xludf.DUMMYFUNCTION("""COMPUTED_VALUE"""),16.6013056)</f>
        <v>16.6013056</v>
      </c>
      <c r="C229" t="str">
        <f>IFERROR(__xludf.DUMMYFUNCTION("""COMPUTED_VALUE"""),"Casa Vacanza")</f>
        <v>Casa Vacanza</v>
      </c>
      <c r="D229" t="str">
        <f>IFERROR(__xludf.DUMMYFUNCTION("""COMPUTED_VALUE"""),"L'ANGOLO SUL PARCO")</f>
        <v>L'ANGOLO SUL PARCO</v>
      </c>
      <c r="E229" t="str">
        <f>IFERROR(__xludf.DUMMYFUNCTION("""COMPUTED_VALUE"""),"ZACCARO FRANCESCO P.")</f>
        <v>ZACCARO FRANCESCO P.</v>
      </c>
      <c r="F229" t="str">
        <f>IFERROR(__xludf.DUMMYFUNCTION("""COMPUTED_VALUE"""),"VIA DELLA CROCE 1")</f>
        <v>VIA DELLA CROCE 1</v>
      </c>
      <c r="G229" t="str">
        <f>IFERROR(__xludf.DUMMYFUNCTION("""COMPUTED_VALUE"""),"Matera")</f>
        <v>Matera</v>
      </c>
      <c r="H229" t="str">
        <f>IFERROR(__xludf.DUMMYFUNCTION("""COMPUTED_VALUE"""),"Italy")</f>
        <v>Italy</v>
      </c>
      <c r="I229" t="str">
        <f>IFERROR(__xludf.DUMMYFUNCTION("""COMPUTED_VALUE"""),"")</f>
        <v/>
      </c>
      <c r="J229">
        <f>IFERROR(__xludf.DUMMYFUNCTION("""COMPUTED_VALUE"""),4.0)</f>
        <v>4</v>
      </c>
      <c r="K229" t="str">
        <f>IFERROR(__xludf.DUMMYFUNCTION("""COMPUTED_VALUE"""),"")</f>
        <v/>
      </c>
      <c r="L229" t="str">
        <f>IFERROR(__xludf.DUMMYFUNCTION("""COMPUTED_VALUE"""),"")</f>
        <v/>
      </c>
      <c r="M229" t="str">
        <f>IFERROR(__xludf.DUMMYFUNCTION("""COMPUTED_VALUE"""),"")</f>
        <v/>
      </c>
      <c r="N229" t="str">
        <f>IFERROR(__xludf.DUMMYFUNCTION("""COMPUTED_VALUE"""),"")</f>
        <v/>
      </c>
      <c r="O229" t="str">
        <f>IFERROR(__xludf.DUMMYFUNCTION("""COMPUTED_VALUE"""),"")</f>
        <v/>
      </c>
    </row>
    <row r="230">
      <c r="A230">
        <f>IFERROR(__xludf.DUMMYFUNCTION("""COMPUTED_VALUE"""),40.672984)</f>
        <v>40.672984</v>
      </c>
      <c r="B230">
        <f>IFERROR(__xludf.DUMMYFUNCTION("""COMPUTED_VALUE"""),16.607316)</f>
        <v>16.607316</v>
      </c>
      <c r="C230" t="str">
        <f>IFERROR(__xludf.DUMMYFUNCTION("""COMPUTED_VALUE"""),"Casa Vacanza")</f>
        <v>Casa Vacanza</v>
      </c>
      <c r="D230" t="str">
        <f>IFERROR(__xludf.DUMMYFUNCTION("""COMPUTED_VALUE"""),"L'ARCOBALENO SUI SASSI")</f>
        <v>L'ARCOBALENO SUI SASSI</v>
      </c>
      <c r="E230" t="str">
        <f>IFERROR(__xludf.DUMMYFUNCTION("""COMPUTED_VALUE"""),"FESTA FRANCESCO PAOLO")</f>
        <v>FESTA FRANCESCO PAOLO</v>
      </c>
      <c r="F230" t="str">
        <f>IFERROR(__xludf.DUMMYFUNCTION("""COMPUTED_VALUE"""),"VIA GIUSEPPE GATTINI 41")</f>
        <v>VIA GIUSEPPE GATTINI 41</v>
      </c>
      <c r="G230" t="str">
        <f>IFERROR(__xludf.DUMMYFUNCTION("""COMPUTED_VALUE"""),"Matera")</f>
        <v>Matera</v>
      </c>
      <c r="H230" t="str">
        <f>IFERROR(__xludf.DUMMYFUNCTION("""COMPUTED_VALUE"""),"Italy")</f>
        <v>Italy</v>
      </c>
      <c r="I230">
        <f>IFERROR(__xludf.DUMMYFUNCTION("""COMPUTED_VALUE"""),5411.0)</f>
        <v>5411</v>
      </c>
      <c r="J230">
        <f>IFERROR(__xludf.DUMMYFUNCTION("""COMPUTED_VALUE"""),38.0)</f>
        <v>38</v>
      </c>
      <c r="K230">
        <f>IFERROR(__xludf.DUMMYFUNCTION("""COMPUTED_VALUE"""),159.0)</f>
        <v>159</v>
      </c>
      <c r="L230" t="str">
        <f>IFERROR(__xludf.DUMMYFUNCTION("""COMPUTED_VALUE"""),"FSTFNC64S07F052G")</f>
        <v>FSTFNC64S07F052G</v>
      </c>
      <c r="M230">
        <f>IFERROR(__xludf.DUMMYFUNCTION("""COMPUTED_VALUE"""),6.0)</f>
        <v>6</v>
      </c>
      <c r="N230">
        <f>IFERROR(__xludf.DUMMYFUNCTION("""COMPUTED_VALUE"""),43305.0)</f>
        <v>43305</v>
      </c>
      <c r="O230" t="str">
        <f>IFERROR(__xludf.DUMMYFUNCTION("""COMPUTED_VALUE"""),"")</f>
        <v/>
      </c>
    </row>
    <row r="231">
      <c r="A231">
        <f>IFERROR(__xludf.DUMMYFUNCTION("""COMPUTED_VALUE"""),40.6433146)</f>
        <v>40.6433146</v>
      </c>
      <c r="B231">
        <f>IFERROR(__xludf.DUMMYFUNCTION("""COMPUTED_VALUE"""),16.6241252)</f>
        <v>16.6241252</v>
      </c>
      <c r="C231" t="str">
        <f>IFERROR(__xludf.DUMMYFUNCTION("""COMPUTED_VALUE"""),"Casa Vacanza")</f>
        <v>Casa Vacanza</v>
      </c>
      <c r="D231" t="str">
        <f>IFERROR(__xludf.DUMMYFUNCTION("""COMPUTED_VALUE"""),"L'HIRONDELLE")</f>
        <v>L'HIRONDELLE</v>
      </c>
      <c r="E231" t="str">
        <f>IFERROR(__xludf.DUMMYFUNCTION("""COMPUTED_VALUE"""),"D'UGGENTO ANTONIA GABRIELLA")</f>
        <v>D'UGGENTO ANTONIA GABRIELLA</v>
      </c>
      <c r="F231" t="str">
        <f>IFERROR(__xludf.DUMMYFUNCTION("""COMPUTED_VALUE"""),"VIA T. RICCIARDI 24")</f>
        <v>VIA T. RICCIARDI 24</v>
      </c>
      <c r="G231" t="str">
        <f>IFERROR(__xludf.DUMMYFUNCTION("""COMPUTED_VALUE"""),"Matera")</f>
        <v>Matera</v>
      </c>
      <c r="H231" t="str">
        <f>IFERROR(__xludf.DUMMYFUNCTION("""COMPUTED_VALUE"""),"Italy")</f>
        <v>Italy</v>
      </c>
      <c r="I231">
        <f>IFERROR(__xludf.DUMMYFUNCTION("""COMPUTED_VALUE"""),258.0)</f>
        <v>258</v>
      </c>
      <c r="J231">
        <f>IFERROR(__xludf.DUMMYFUNCTION("""COMPUTED_VALUE"""),3.0)</f>
        <v>3</v>
      </c>
      <c r="K231">
        <f>IFERROR(__xludf.DUMMYFUNCTION("""COMPUTED_VALUE"""),114.0)</f>
        <v>114</v>
      </c>
      <c r="L231" t="str">
        <f>IFERROR(__xludf.DUMMYFUNCTION("""COMPUTED_VALUE"""),"DGGNNG58H62C136G")</f>
        <v>DGGNNG58H62C136G</v>
      </c>
      <c r="M231">
        <f>IFERROR(__xludf.DUMMYFUNCTION("""COMPUTED_VALUE"""),4.0)</f>
        <v>4</v>
      </c>
      <c r="N231">
        <f>IFERROR(__xludf.DUMMYFUNCTION("""COMPUTED_VALUE"""),42291.0)</f>
        <v>42291</v>
      </c>
      <c r="O231">
        <f>IFERROR(__xludf.DUMMYFUNCTION("""COMPUTED_VALUE"""),1928.0)</f>
        <v>1928</v>
      </c>
    </row>
    <row r="232">
      <c r="A232">
        <f>IFERROR(__xludf.DUMMYFUNCTION("""COMPUTED_VALUE"""),40.661252)</f>
        <v>40.661252</v>
      </c>
      <c r="B232">
        <f>IFERROR(__xludf.DUMMYFUNCTION("""COMPUTED_VALUE"""),16.5332105)</f>
        <v>16.5332105</v>
      </c>
      <c r="C232" t="str">
        <f>IFERROR(__xludf.DUMMYFUNCTION("""COMPUTED_VALUE"""),"Casa Vacanza")</f>
        <v>Casa Vacanza</v>
      </c>
      <c r="D232" t="str">
        <f>IFERROR(__xludf.DUMMYFUNCTION("""COMPUTED_VALUE"""),"L'ULIVO")</f>
        <v>L'ULIVO</v>
      </c>
      <c r="E232" t="str">
        <f>IFERROR(__xludf.DUMMYFUNCTION("""COMPUTED_VALUE"""),"FRANCIONE FRANCESCO PAOLO")</f>
        <v>FRANCIONE FRANCESCO PAOLO</v>
      </c>
      <c r="F232" t="str">
        <f>IFERROR(__xludf.DUMMYFUNCTION("""COMPUTED_VALUE"""),"VIA MONVISO 13")</f>
        <v>VIA MONVISO 13</v>
      </c>
      <c r="G232" t="str">
        <f>IFERROR(__xludf.DUMMYFUNCTION("""COMPUTED_VALUE"""),"Matera")</f>
        <v>Matera</v>
      </c>
      <c r="H232" t="str">
        <f>IFERROR(__xludf.DUMMYFUNCTION("""COMPUTED_VALUE"""),"Italy")</f>
        <v>Italy</v>
      </c>
      <c r="I232">
        <f>IFERROR(__xludf.DUMMYFUNCTION("""COMPUTED_VALUE"""),436.0)</f>
        <v>436</v>
      </c>
      <c r="J232" t="str">
        <f>IFERROR(__xludf.DUMMYFUNCTION("""COMPUTED_VALUE"""),"")</f>
        <v/>
      </c>
      <c r="K232">
        <f>IFERROR(__xludf.DUMMYFUNCTION("""COMPUTED_VALUE"""),65.0)</f>
        <v>65</v>
      </c>
      <c r="L232" t="str">
        <f>IFERROR(__xludf.DUMMYFUNCTION("""COMPUTED_VALUE"""),"FRNFNC46M31F052Z")</f>
        <v>FRNFNC46M31F052Z</v>
      </c>
      <c r="M232">
        <f>IFERROR(__xludf.DUMMYFUNCTION("""COMPUTED_VALUE"""),9.0)</f>
        <v>9</v>
      </c>
      <c r="N232">
        <f>IFERROR(__xludf.DUMMYFUNCTION("""COMPUTED_VALUE"""),40982.0)</f>
        <v>40982</v>
      </c>
      <c r="O232" t="str">
        <f>IFERROR(__xludf.DUMMYFUNCTION("""COMPUTED_VALUE"""),"")</f>
        <v/>
      </c>
    </row>
    <row r="233">
      <c r="A233">
        <f>IFERROR(__xludf.DUMMYFUNCTION("""COMPUTED_VALUE"""),40.6665738042471)</f>
        <v>40.6665738</v>
      </c>
      <c r="B233">
        <f>IFERROR(__xludf.DUMMYFUNCTION("""COMPUTED_VALUE"""),16.6092416786851)</f>
        <v>16.60924168</v>
      </c>
      <c r="C233" t="str">
        <f>IFERROR(__xludf.DUMMYFUNCTION("""COMPUTED_VALUE"""),"Casa Vacanza")</f>
        <v>Casa Vacanza</v>
      </c>
      <c r="D233" t="str">
        <f>IFERROR(__xludf.DUMMYFUNCTION("""COMPUTED_VALUE"""),"L'ULIVO NELLA CORTE")</f>
        <v>L'ULIVO NELLA CORTE</v>
      </c>
      <c r="E233" t="str">
        <f>IFERROR(__xludf.DUMMYFUNCTION("""COMPUTED_VALUE"""),"DINA CASCIARO")</f>
        <v>DINA CASCIARO</v>
      </c>
      <c r="F233" t="str">
        <f>IFERROR(__xludf.DUMMYFUNCTION("""COMPUTED_VALUE"""),"VIA FIORENTINI 131 135")</f>
        <v>VIA FIORENTINI 131 135</v>
      </c>
      <c r="G233" t="str">
        <f>IFERROR(__xludf.DUMMYFUNCTION("""COMPUTED_VALUE"""),"Matera")</f>
        <v>Matera</v>
      </c>
      <c r="H233" t="str">
        <f>IFERROR(__xludf.DUMMYFUNCTION("""COMPUTED_VALUE"""),"Italy")</f>
        <v>Italy</v>
      </c>
      <c r="I233">
        <f>IFERROR(__xludf.DUMMYFUNCTION("""COMPUTED_VALUE"""),402.0)</f>
        <v>402</v>
      </c>
      <c r="J233">
        <f>IFERROR(__xludf.DUMMYFUNCTION("""COMPUTED_VALUE"""),1.0)</f>
        <v>1</v>
      </c>
      <c r="K233">
        <f>IFERROR(__xludf.DUMMYFUNCTION("""COMPUTED_VALUE"""),159.0)</f>
        <v>159</v>
      </c>
      <c r="L233" t="str">
        <f>IFERROR(__xludf.DUMMYFUNCTION("""COMPUTED_VALUE"""),"CSCDNI80T69F052F")</f>
        <v>CSCDNI80T69F052F</v>
      </c>
      <c r="M233">
        <f>IFERROR(__xludf.DUMMYFUNCTION("""COMPUTED_VALUE"""),8.0)</f>
        <v>8</v>
      </c>
      <c r="N233">
        <f>IFERROR(__xludf.DUMMYFUNCTION("""COMPUTED_VALUE"""),43080.0)</f>
        <v>43080</v>
      </c>
      <c r="O233" t="str">
        <f>IFERROR(__xludf.DUMMYFUNCTION("""COMPUTED_VALUE"""),"")</f>
        <v/>
      </c>
    </row>
    <row r="234">
      <c r="A234">
        <f>IFERROR(__xludf.DUMMYFUNCTION("""COMPUTED_VALUE"""),40.6704522540733)</f>
        <v>40.67045225</v>
      </c>
      <c r="B234">
        <f>IFERROR(__xludf.DUMMYFUNCTION("""COMPUTED_VALUE"""),16.6067501425271)</f>
        <v>16.60675014</v>
      </c>
      <c r="C234" t="str">
        <f>IFERROR(__xludf.DUMMYFUNCTION("""COMPUTED_VALUE"""),"Casa Vacanza")</f>
        <v>Casa Vacanza</v>
      </c>
      <c r="D234" t="str">
        <f>IFERROR(__xludf.DUMMYFUNCTION("""COMPUTED_VALUE"""),"LA BAITA NEI SASSI")</f>
        <v>LA BAITA NEI SASSI</v>
      </c>
      <c r="E234" t="str">
        <f>IFERROR(__xludf.DUMMYFUNCTION("""COMPUTED_VALUE"""),"CERNITORE PAOLO")</f>
        <v>CERNITORE PAOLO</v>
      </c>
      <c r="F234" t="str">
        <f>IFERROR(__xludf.DUMMYFUNCTION("""COMPUTED_VALUE"""),"VIA PENTASUGLIA 31")</f>
        <v>VIA PENTASUGLIA 31</v>
      </c>
      <c r="G234" t="str">
        <f>IFERROR(__xludf.DUMMYFUNCTION("""COMPUTED_VALUE"""),"Matera")</f>
        <v>Matera</v>
      </c>
      <c r="H234" t="str">
        <f>IFERROR(__xludf.DUMMYFUNCTION("""COMPUTED_VALUE"""),"Italy")</f>
        <v>Italy</v>
      </c>
      <c r="I234">
        <f>IFERROR(__xludf.DUMMYFUNCTION("""COMPUTED_VALUE"""),3590.0)</f>
        <v>3590</v>
      </c>
      <c r="J234">
        <f>IFERROR(__xludf.DUMMYFUNCTION("""COMPUTED_VALUE"""),29.0)</f>
        <v>29</v>
      </c>
      <c r="K234">
        <f>IFERROR(__xludf.DUMMYFUNCTION("""COMPUTED_VALUE"""),159.0)</f>
        <v>159</v>
      </c>
      <c r="L234" t="str">
        <f>IFERROR(__xludf.DUMMYFUNCTION("""COMPUTED_VALUE"""),"CRNPLA68L26A662B")</f>
        <v>CRNPLA68L26A662B</v>
      </c>
      <c r="M234">
        <f>IFERROR(__xludf.DUMMYFUNCTION("""COMPUTED_VALUE"""),4.0)</f>
        <v>4</v>
      </c>
      <c r="N234">
        <f>IFERROR(__xludf.DUMMYFUNCTION("""COMPUTED_VALUE"""),42950.0)</f>
        <v>42950</v>
      </c>
      <c r="O234" t="str">
        <f>IFERROR(__xludf.DUMMYFUNCTION("""COMPUTED_VALUE"""),"")</f>
        <v/>
      </c>
    </row>
    <row r="235">
      <c r="A235">
        <f>IFERROR(__xludf.DUMMYFUNCTION("""COMPUTED_VALUE"""),40.6622899)</f>
        <v>40.6622899</v>
      </c>
      <c r="B235">
        <f>IFERROR(__xludf.DUMMYFUNCTION("""COMPUTED_VALUE"""),16.611079)</f>
        <v>16.611079</v>
      </c>
      <c r="C235" t="str">
        <f>IFERROR(__xludf.DUMMYFUNCTION("""COMPUTED_VALUE"""),"Casa Vacanza")</f>
        <v>Casa Vacanza</v>
      </c>
      <c r="D235" t="str">
        <f>IFERROR(__xludf.DUMMYFUNCTION("""COMPUTED_VALUE"""),"LA BRUNA")</f>
        <v>LA BRUNA</v>
      </c>
      <c r="E235" t="str">
        <f>IFERROR(__xludf.DUMMYFUNCTION("""COMPUTED_VALUE"""),"GAGLIARDI CESARE")</f>
        <v>GAGLIARDI CESARE</v>
      </c>
      <c r="F235" t="str">
        <f>IFERROR(__xludf.DUMMYFUNCTION("""COMPUTED_VALUE"""),"VIA BRUNO BUOZZI .47 BIS")</f>
        <v>VIA BRUNO BUOZZI .47 BIS</v>
      </c>
      <c r="G235" t="str">
        <f>IFERROR(__xludf.DUMMYFUNCTION("""COMPUTED_VALUE"""),"Matera")</f>
        <v>Matera</v>
      </c>
      <c r="H235" t="str">
        <f>IFERROR(__xludf.DUMMYFUNCTION("""COMPUTED_VALUE"""),"Italy")</f>
        <v>Italy</v>
      </c>
      <c r="I235">
        <f>IFERROR(__xludf.DUMMYFUNCTION("""COMPUTED_VALUE"""),3914.0)</f>
        <v>3914</v>
      </c>
      <c r="J235">
        <f>IFERROR(__xludf.DUMMYFUNCTION("""COMPUTED_VALUE"""),1.0)</f>
        <v>1</v>
      </c>
      <c r="K235">
        <f>IFERROR(__xludf.DUMMYFUNCTION("""COMPUTED_VALUE"""),159.0)</f>
        <v>159</v>
      </c>
      <c r="L235" t="str">
        <f>IFERROR(__xludf.DUMMYFUNCTION("""COMPUTED_VALUE"""),"GGLNNC51L24F052B")</f>
        <v>GGLNNC51L24F052B</v>
      </c>
      <c r="M235">
        <f>IFERROR(__xludf.DUMMYFUNCTION("""COMPUTED_VALUE"""),3.0)</f>
        <v>3</v>
      </c>
      <c r="N235">
        <f>IFERROR(__xludf.DUMMYFUNCTION("""COMPUTED_VALUE"""),42692.0)</f>
        <v>42692</v>
      </c>
      <c r="O235" t="str">
        <f>IFERROR(__xludf.DUMMYFUNCTION("""COMPUTED_VALUE"""),"")</f>
        <v/>
      </c>
    </row>
    <row r="236">
      <c r="A236">
        <f>IFERROR(__xludf.DUMMYFUNCTION("""COMPUTED_VALUE"""),40.6627231)</f>
        <v>40.6627231</v>
      </c>
      <c r="B236">
        <f>IFERROR(__xludf.DUMMYFUNCTION("""COMPUTED_VALUE"""),16.6093077)</f>
        <v>16.6093077</v>
      </c>
      <c r="C236" t="str">
        <f>IFERROR(__xludf.DUMMYFUNCTION("""COMPUTED_VALUE"""),"Casa Vacanza")</f>
        <v>Casa Vacanza</v>
      </c>
      <c r="D236" t="str">
        <f>IFERROR(__xludf.DUMMYFUNCTION("""COMPUTED_VALUE"""),"LA CASA DEI NONNI")</f>
        <v>LA CASA DEI NONNI</v>
      </c>
      <c r="E236" t="str">
        <f>IFERROR(__xludf.DUMMYFUNCTION("""COMPUTED_VALUE"""),"PASQUALE NICOLETTI")</f>
        <v>PASQUALE NICOLETTI</v>
      </c>
      <c r="F236" t="str">
        <f>IFERROR(__xludf.DUMMYFUNCTION("""COMPUTED_VALUE"""),"VIA DUNI 15")</f>
        <v>VIA DUNI 15</v>
      </c>
      <c r="G236" t="str">
        <f>IFERROR(__xludf.DUMMYFUNCTION("""COMPUTED_VALUE"""),"Matera")</f>
        <v>Matera</v>
      </c>
      <c r="H236" t="str">
        <f>IFERROR(__xludf.DUMMYFUNCTION("""COMPUTED_VALUE"""),"Italy")</f>
        <v>Italy</v>
      </c>
      <c r="I236">
        <f>IFERROR(__xludf.DUMMYFUNCTION("""COMPUTED_VALUE"""),2998.0)</f>
        <v>2998</v>
      </c>
      <c r="J236">
        <f>IFERROR(__xludf.DUMMYFUNCTION("""COMPUTED_VALUE"""),6.0)</f>
        <v>6</v>
      </c>
      <c r="K236">
        <f>IFERROR(__xludf.DUMMYFUNCTION("""COMPUTED_VALUE"""),159.0)</f>
        <v>159</v>
      </c>
      <c r="L236" t="str">
        <f>IFERROR(__xludf.DUMMYFUNCTION("""COMPUTED_VALUE"""),"DPDPQL56E31F052E")</f>
        <v>DPDPQL56E31F052E</v>
      </c>
      <c r="M236">
        <f>IFERROR(__xludf.DUMMYFUNCTION("""COMPUTED_VALUE"""),4.0)</f>
        <v>4</v>
      </c>
      <c r="N236">
        <f>IFERROR(__xludf.DUMMYFUNCTION("""COMPUTED_VALUE"""),42202.0)</f>
        <v>42202</v>
      </c>
      <c r="O236" t="str">
        <f>IFERROR(__xludf.DUMMYFUNCTION("""COMPUTED_VALUE"""),"")</f>
        <v/>
      </c>
    </row>
    <row r="237">
      <c r="A237">
        <f>IFERROR(__xludf.DUMMYFUNCTION("""COMPUTED_VALUE"""),40.6746234907553)</f>
        <v>40.67462349</v>
      </c>
      <c r="B237">
        <f>IFERROR(__xludf.DUMMYFUNCTION("""COMPUTED_VALUE"""),16.5998010110091)</f>
        <v>16.59980101</v>
      </c>
      <c r="C237" t="str">
        <f>IFERROR(__xludf.DUMMYFUNCTION("""COMPUTED_VALUE"""),"Casa Vacanze")</f>
        <v>Casa Vacanze</v>
      </c>
      <c r="D237" t="str">
        <f>IFERROR(__xludf.DUMMYFUNCTION("""COMPUTED_VALUE"""),"LA CASA DEI PARGOLI")</f>
        <v>LA CASA DEI PARGOLI</v>
      </c>
      <c r="E237" t="str">
        <f>IFERROR(__xludf.DUMMYFUNCTION("""COMPUTED_VALUE"""),"CARMELA PACE")</f>
        <v>CARMELA PACE</v>
      </c>
      <c r="F237" t="str">
        <f>IFERROR(__xludf.DUMMYFUNCTION("""COMPUTED_VALUE"""),"VIA RAFFAELE SARRA 10")</f>
        <v>VIA RAFFAELE SARRA 10</v>
      </c>
      <c r="G237" t="str">
        <f>IFERROR(__xludf.DUMMYFUNCTION("""COMPUTED_VALUE"""),"Matera")</f>
        <v>Matera</v>
      </c>
      <c r="H237" t="str">
        <f>IFERROR(__xludf.DUMMYFUNCTION("""COMPUTED_VALUE"""),"Italy")</f>
        <v>Italy</v>
      </c>
      <c r="I237">
        <f>IFERROR(__xludf.DUMMYFUNCTION("""COMPUTED_VALUE"""),4799.0)</f>
        <v>4799</v>
      </c>
      <c r="J237">
        <f>IFERROR(__xludf.DUMMYFUNCTION("""COMPUTED_VALUE"""),8.0)</f>
        <v>8</v>
      </c>
      <c r="K237">
        <f>IFERROR(__xludf.DUMMYFUNCTION("""COMPUTED_VALUE"""),159.0)</f>
        <v>159</v>
      </c>
      <c r="L237" t="str">
        <f>IFERROR(__xludf.DUMMYFUNCTION("""COMPUTED_VALUE"""),"PCACML71L56C136V")</f>
        <v>PCACML71L56C136V</v>
      </c>
      <c r="M237">
        <f>IFERROR(__xludf.DUMMYFUNCTION("""COMPUTED_VALUE"""),5.0)</f>
        <v>5</v>
      </c>
      <c r="N237">
        <f>IFERROR(__xludf.DUMMYFUNCTION("""COMPUTED_VALUE"""),43145.0)</f>
        <v>43145</v>
      </c>
      <c r="O237" t="str">
        <f>IFERROR(__xludf.DUMMYFUNCTION("""COMPUTED_VALUE"""),"")</f>
        <v/>
      </c>
    </row>
    <row r="238">
      <c r="A238">
        <f>IFERROR(__xludf.DUMMYFUNCTION("""COMPUTED_VALUE"""),40.6704522540733)</f>
        <v>40.67045225</v>
      </c>
      <c r="B238">
        <f>IFERROR(__xludf.DUMMYFUNCTION("""COMPUTED_VALUE"""),16.6067501425271)</f>
        <v>16.60675014</v>
      </c>
      <c r="C238" t="str">
        <f>IFERROR(__xludf.DUMMYFUNCTION("""COMPUTED_VALUE"""),"Casa Vacanza")</f>
        <v>Casa Vacanza</v>
      </c>
      <c r="D238" t="str">
        <f>IFERROR(__xludf.DUMMYFUNCTION("""COMPUTED_VALUE"""),"LA CASA DEL GENERALE")</f>
        <v>LA CASA DEL GENERALE</v>
      </c>
      <c r="E238" t="str">
        <f>IFERROR(__xludf.DUMMYFUNCTION("""COMPUTED_VALUE"""),"FASULO GIOVANNI")</f>
        <v>FASULO GIOVANNI</v>
      </c>
      <c r="F238" t="str">
        <f>IFERROR(__xludf.DUMMYFUNCTION("""COMPUTED_VALUE"""),"VIA PENTASUGLIA 13")</f>
        <v>VIA PENTASUGLIA 13</v>
      </c>
      <c r="G238" t="str">
        <f>IFERROR(__xludf.DUMMYFUNCTION("""COMPUTED_VALUE"""),"Matera")</f>
        <v>Matera</v>
      </c>
      <c r="H238" t="str">
        <f>IFERROR(__xludf.DUMMYFUNCTION("""COMPUTED_VALUE"""),"Italy")</f>
        <v>Italy</v>
      </c>
      <c r="I238">
        <f>IFERROR(__xludf.DUMMYFUNCTION("""COMPUTED_VALUE"""),3590.0)</f>
        <v>3590</v>
      </c>
      <c r="J238">
        <f>IFERROR(__xludf.DUMMYFUNCTION("""COMPUTED_VALUE"""),12.0)</f>
        <v>12</v>
      </c>
      <c r="K238">
        <f>IFERROR(__xludf.DUMMYFUNCTION("""COMPUTED_VALUE"""),159.0)</f>
        <v>159</v>
      </c>
      <c r="L238" t="str">
        <f>IFERROR(__xludf.DUMMYFUNCTION("""COMPUTED_VALUE"""),"FSLGNN59P29D642V")</f>
        <v>FSLGNN59P29D642V</v>
      </c>
      <c r="M238">
        <f>IFERROR(__xludf.DUMMYFUNCTION("""COMPUTED_VALUE"""),4.0)</f>
        <v>4</v>
      </c>
      <c r="N238">
        <f>IFERROR(__xludf.DUMMYFUNCTION("""COMPUTED_VALUE"""),42557.0)</f>
        <v>42557</v>
      </c>
      <c r="O238" t="str">
        <f>IFERROR(__xludf.DUMMYFUNCTION("""COMPUTED_VALUE"""),"")</f>
        <v/>
      </c>
    </row>
    <row r="239">
      <c r="A239">
        <f>IFERROR(__xludf.DUMMYFUNCTION("""COMPUTED_VALUE"""),40.6670941)</f>
        <v>40.6670941</v>
      </c>
      <c r="B239">
        <f>IFERROR(__xludf.DUMMYFUNCTION("""COMPUTED_VALUE"""),16.6070503)</f>
        <v>16.6070503</v>
      </c>
      <c r="C239" t="str">
        <f>IFERROR(__xludf.DUMMYFUNCTION("""COMPUTED_VALUE"""),"Casa Vacanza")</f>
        <v>Casa Vacanza</v>
      </c>
      <c r="D239" t="str">
        <f>IFERROR(__xludf.DUMMYFUNCTION("""COMPUTED_VALUE"""),"LA CASA DEL NONNO")</f>
        <v>LA CASA DEL NONNO</v>
      </c>
      <c r="E239" t="str">
        <f>IFERROR(__xludf.DUMMYFUNCTION("""COMPUTED_VALUE"""),"EUSTACHIO MARAGNO")</f>
        <v>EUSTACHIO MARAGNO</v>
      </c>
      <c r="F239" t="str">
        <f>IFERROR(__xludf.DUMMYFUNCTION("""COMPUTED_VALUE"""),"VIA SAN BIAGIO 51")</f>
        <v>VIA SAN BIAGIO 51</v>
      </c>
      <c r="G239" t="str">
        <f>IFERROR(__xludf.DUMMYFUNCTION("""COMPUTED_VALUE"""),"Matera")</f>
        <v>Matera</v>
      </c>
      <c r="H239" t="str">
        <f>IFERROR(__xludf.DUMMYFUNCTION("""COMPUTED_VALUE"""),"Italy")</f>
        <v>Italy</v>
      </c>
      <c r="I239">
        <f>IFERROR(__xludf.DUMMYFUNCTION("""COMPUTED_VALUE"""),2758.0)</f>
        <v>2758</v>
      </c>
      <c r="J239">
        <f>IFERROR(__xludf.DUMMYFUNCTION("""COMPUTED_VALUE"""),9.0)</f>
        <v>9</v>
      </c>
      <c r="K239">
        <f>IFERROR(__xludf.DUMMYFUNCTION("""COMPUTED_VALUE"""),159.0)</f>
        <v>159</v>
      </c>
      <c r="L239" t="str">
        <f>IFERROR(__xludf.DUMMYFUNCTION("""COMPUTED_VALUE"""),"MRGSCH85M20F052L")</f>
        <v>MRGSCH85M20F052L</v>
      </c>
      <c r="M239">
        <f>IFERROR(__xludf.DUMMYFUNCTION("""COMPUTED_VALUE"""),2.0)</f>
        <v>2</v>
      </c>
      <c r="N239">
        <f>IFERROR(__xludf.DUMMYFUNCTION("""COMPUTED_VALUE"""),42544.0)</f>
        <v>42544</v>
      </c>
      <c r="O239" t="str">
        <f>IFERROR(__xludf.DUMMYFUNCTION("""COMPUTED_VALUE"""),"")</f>
        <v/>
      </c>
    </row>
    <row r="240">
      <c r="A240">
        <f>IFERROR(__xludf.DUMMYFUNCTION("""COMPUTED_VALUE"""),40.6680840293999)</f>
        <v>40.66808403</v>
      </c>
      <c r="B240">
        <f>IFERROR(__xludf.DUMMYFUNCTION("""COMPUTED_VALUE"""),16.6049547208449)</f>
        <v>16.60495472</v>
      </c>
      <c r="C240" t="str">
        <f>IFERROR(__xludf.DUMMYFUNCTION("""COMPUTED_VALUE"""),"Casa Vacanza")</f>
        <v>Casa Vacanza</v>
      </c>
      <c r="D240" t="str">
        <f>IFERROR(__xludf.DUMMYFUNCTION("""COMPUTED_VALUE"""),"LA CASA DEL SOMMELIER")</f>
        <v>LA CASA DEL SOMMELIER</v>
      </c>
      <c r="E240" t="str">
        <f>IFERROR(__xludf.DUMMYFUNCTION("""COMPUTED_VALUE"""),"SILVIA MANICONE")</f>
        <v>SILVIA MANICONE</v>
      </c>
      <c r="F240" t="str">
        <f>IFERROR(__xludf.DUMMYFUNCTION("""COMPUTED_VALUE"""),"VIA PROTOSPATA 15 1# PIANO")</f>
        <v>VIA PROTOSPATA 15 1# PIANO</v>
      </c>
      <c r="G240" t="str">
        <f>IFERROR(__xludf.DUMMYFUNCTION("""COMPUTED_VALUE"""),"Matera")</f>
        <v>Matera</v>
      </c>
      <c r="H240" t="str">
        <f>IFERROR(__xludf.DUMMYFUNCTION("""COMPUTED_VALUE"""),"Italy")</f>
        <v>Italy</v>
      </c>
      <c r="I240">
        <f>IFERROR(__xludf.DUMMYFUNCTION("""COMPUTED_VALUE"""),3760.0)</f>
        <v>3760</v>
      </c>
      <c r="J240">
        <f>IFERROR(__xludf.DUMMYFUNCTION("""COMPUTED_VALUE"""),8.0)</f>
        <v>8</v>
      </c>
      <c r="K240">
        <f>IFERROR(__xludf.DUMMYFUNCTION("""COMPUTED_VALUE"""),159.0)</f>
        <v>159</v>
      </c>
      <c r="L240" t="str">
        <f>IFERROR(__xludf.DUMMYFUNCTION("""COMPUTED_VALUE"""),"MNCSLV80H70F052J")</f>
        <v>MNCSLV80H70F052J</v>
      </c>
      <c r="M240">
        <f>IFERROR(__xludf.DUMMYFUNCTION("""COMPUTED_VALUE"""),2.0)</f>
        <v>2</v>
      </c>
      <c r="N240">
        <f>IFERROR(__xludf.DUMMYFUNCTION("""COMPUTED_VALUE"""),42564.0)</f>
        <v>42564</v>
      </c>
      <c r="O240" t="str">
        <f>IFERROR(__xludf.DUMMYFUNCTION("""COMPUTED_VALUE"""),"")</f>
        <v/>
      </c>
    </row>
    <row r="241">
      <c r="A241">
        <f>IFERROR(__xludf.DUMMYFUNCTION("""COMPUTED_VALUE"""),40.6647543452593)</f>
        <v>40.66475435</v>
      </c>
      <c r="B241">
        <f>IFERROR(__xludf.DUMMYFUNCTION("""COMPUTED_VALUE"""),16.5923297272035)</f>
        <v>16.59232973</v>
      </c>
      <c r="C241" t="str">
        <f>IFERROR(__xludf.DUMMYFUNCTION("""COMPUTED_VALUE"""),"Casa Vacanza")</f>
        <v>Casa Vacanza</v>
      </c>
      <c r="D241" t="str">
        <f>IFERROR(__xludf.DUMMYFUNCTION("""COMPUTED_VALUE"""),"LA CASA DELL'ANGELO")</f>
        <v>LA CASA DELL'ANGELO</v>
      </c>
      <c r="E241" t="str">
        <f>IFERROR(__xludf.DUMMYFUNCTION("""COMPUTED_VALUE"""),"CORETTI CHIARA MARIA")</f>
        <v>CORETTI CHIARA MARIA</v>
      </c>
      <c r="F241" t="str">
        <f>IFERROR(__xludf.DUMMYFUNCTION("""COMPUTED_VALUE"""),"VIA GIOBERTI 2 PIANO2°")</f>
        <v>VIA GIOBERTI 2 PIANO2°</v>
      </c>
      <c r="G241" t="str">
        <f>IFERROR(__xludf.DUMMYFUNCTION("""COMPUTED_VALUE"""),"Matera")</f>
        <v>Matera</v>
      </c>
      <c r="H241" t="str">
        <f>IFERROR(__xludf.DUMMYFUNCTION("""COMPUTED_VALUE"""),"Italy")</f>
        <v>Italy</v>
      </c>
      <c r="I241">
        <f>IFERROR(__xludf.DUMMYFUNCTION("""COMPUTED_VALUE"""),394.0)</f>
        <v>394</v>
      </c>
      <c r="J241">
        <f>IFERROR(__xludf.DUMMYFUNCTION("""COMPUTED_VALUE"""),3.0)</f>
        <v>3</v>
      </c>
      <c r="K241">
        <f>IFERROR(__xludf.DUMMYFUNCTION("""COMPUTED_VALUE"""),69.0)</f>
        <v>69</v>
      </c>
      <c r="L241" t="str">
        <f>IFERROR(__xludf.DUMMYFUNCTION("""COMPUTED_VALUE"""),"CRTCRM76A52F052E")</f>
        <v>CRTCRM76A52F052E</v>
      </c>
      <c r="M241">
        <f>IFERROR(__xludf.DUMMYFUNCTION("""COMPUTED_VALUE"""),2.0)</f>
        <v>2</v>
      </c>
      <c r="N241">
        <f>IFERROR(__xludf.DUMMYFUNCTION("""COMPUTED_VALUE"""),42584.0)</f>
        <v>42584</v>
      </c>
      <c r="O241">
        <f>IFERROR(__xludf.DUMMYFUNCTION("""COMPUTED_VALUE"""),1725.0)</f>
        <v>1725</v>
      </c>
    </row>
    <row r="242">
      <c r="A242">
        <f>IFERROR(__xludf.DUMMYFUNCTION("""COMPUTED_VALUE"""),40.6740217516967)</f>
        <v>40.67402175</v>
      </c>
      <c r="B242">
        <f>IFERROR(__xludf.DUMMYFUNCTION("""COMPUTED_VALUE"""),16.6013827379659)</f>
        <v>16.60138274</v>
      </c>
      <c r="C242" t="str">
        <f>IFERROR(__xludf.DUMMYFUNCTION("""COMPUTED_VALUE"""),"Casa Vacanza")</f>
        <v>Casa Vacanza</v>
      </c>
      <c r="D242" t="str">
        <f>IFERROR(__xludf.DUMMYFUNCTION("""COMPUTED_VALUE"""),"LA CASA DELL'ARTISTA")</f>
        <v>LA CASA DELL'ARTISTA</v>
      </c>
      <c r="E242" t="str">
        <f>IFERROR(__xludf.DUMMYFUNCTION("""COMPUTED_VALUE"""),"ACQUASANTA DANILO")</f>
        <v>ACQUASANTA DANILO</v>
      </c>
      <c r="F242" t="str">
        <f>IFERROR(__xludf.DUMMYFUNCTION("""COMPUTED_VALUE"""),"VIA LIGURIA 19 PIANO TERRA SUB 2")</f>
        <v>VIA LIGURIA 19 PIANO TERRA SUB 2</v>
      </c>
      <c r="G242" t="str">
        <f>IFERROR(__xludf.DUMMYFUNCTION("""COMPUTED_VALUE"""),"Matera")</f>
        <v>Matera</v>
      </c>
      <c r="H242" t="str">
        <f>IFERROR(__xludf.DUMMYFUNCTION("""COMPUTED_VALUE"""),"Italy")</f>
        <v>Italy</v>
      </c>
      <c r="I242">
        <f>IFERROR(__xludf.DUMMYFUNCTION("""COMPUTED_VALUE"""),4855.0)</f>
        <v>4855</v>
      </c>
      <c r="J242">
        <f>IFERROR(__xludf.DUMMYFUNCTION("""COMPUTED_VALUE"""),2.0)</f>
        <v>2</v>
      </c>
      <c r="K242">
        <f>IFERROR(__xludf.DUMMYFUNCTION("""COMPUTED_VALUE"""),159.0)</f>
        <v>159</v>
      </c>
      <c r="L242" t="str">
        <f>IFERROR(__xludf.DUMMYFUNCTION("""COMPUTED_VALUE"""),"CQSDNL88E22A662G")</f>
        <v>CQSDNL88E22A662G</v>
      </c>
      <c r="M242">
        <f>IFERROR(__xludf.DUMMYFUNCTION("""COMPUTED_VALUE"""),6.0)</f>
        <v>6</v>
      </c>
      <c r="N242">
        <f>IFERROR(__xludf.DUMMYFUNCTION("""COMPUTED_VALUE"""),42559.0)</f>
        <v>42559</v>
      </c>
      <c r="O242" t="str">
        <f>IFERROR(__xludf.DUMMYFUNCTION("""COMPUTED_VALUE"""),"")</f>
        <v/>
      </c>
    </row>
    <row r="243">
      <c r="A243">
        <f>IFERROR(__xludf.DUMMYFUNCTION("""COMPUTED_VALUE"""),40.664933)</f>
        <v>40.664933</v>
      </c>
      <c r="B243">
        <f>IFERROR(__xludf.DUMMYFUNCTION("""COMPUTED_VALUE"""),16.610416)</f>
        <v>16.610416</v>
      </c>
      <c r="C243" t="str">
        <f>IFERROR(__xludf.DUMMYFUNCTION("""COMPUTED_VALUE"""),"Casa Vacanza")</f>
        <v>Casa Vacanza</v>
      </c>
      <c r="D243" t="str">
        <f>IFERROR(__xludf.DUMMYFUNCTION("""COMPUTED_VALUE"""),"LA CASA DI ALICE")</f>
        <v>LA CASA DI ALICE</v>
      </c>
      <c r="E243" t="str">
        <f>IFERROR(__xludf.DUMMYFUNCTION("""COMPUTED_VALUE"""),"PASQUALE AMOROSO")</f>
        <v>PASQUALE AMOROSO</v>
      </c>
      <c r="F243" t="str">
        <f>IFERROR(__xludf.DUMMYFUNCTION("""COMPUTED_VALUE"""),"VIA PENNINO 11")</f>
        <v>VIA PENNINO 11</v>
      </c>
      <c r="G243" t="str">
        <f>IFERROR(__xludf.DUMMYFUNCTION("""COMPUTED_VALUE"""),"Matera")</f>
        <v>Matera</v>
      </c>
      <c r="H243" t="str">
        <f>IFERROR(__xludf.DUMMYFUNCTION("""COMPUTED_VALUE"""),"Italy")</f>
        <v>Italy</v>
      </c>
      <c r="I243">
        <f>IFERROR(__xludf.DUMMYFUNCTION("""COMPUTED_VALUE"""),1793.0)</f>
        <v>1793</v>
      </c>
      <c r="J243">
        <f>IFERROR(__xludf.DUMMYFUNCTION("""COMPUTED_VALUE"""),14.0)</f>
        <v>14</v>
      </c>
      <c r="K243">
        <f>IFERROR(__xludf.DUMMYFUNCTION("""COMPUTED_VALUE"""),159.0)</f>
        <v>159</v>
      </c>
      <c r="L243" t="str">
        <f>IFERROR(__xludf.DUMMYFUNCTION("""COMPUTED_VALUE"""),"MRSPQL61E22F052X")</f>
        <v>MRSPQL61E22F052X</v>
      </c>
      <c r="M243">
        <f>IFERROR(__xludf.DUMMYFUNCTION("""COMPUTED_VALUE"""),4.0)</f>
        <v>4</v>
      </c>
      <c r="N243">
        <f>IFERROR(__xludf.DUMMYFUNCTION("""COMPUTED_VALUE"""),41452.0)</f>
        <v>41452</v>
      </c>
      <c r="O243" t="str">
        <f>IFERROR(__xludf.DUMMYFUNCTION("""COMPUTED_VALUE"""),"")</f>
        <v/>
      </c>
    </row>
    <row r="244">
      <c r="A244">
        <f>IFERROR(__xludf.DUMMYFUNCTION("""COMPUTED_VALUE"""),40.67277)</f>
        <v>40.67277</v>
      </c>
      <c r="B244">
        <f>IFERROR(__xludf.DUMMYFUNCTION("""COMPUTED_VALUE"""),16.6003)</f>
        <v>16.6003</v>
      </c>
      <c r="C244" t="str">
        <f>IFERROR(__xludf.DUMMYFUNCTION("""COMPUTED_VALUE"""),"Casa Vacanza")</f>
        <v>Casa Vacanza</v>
      </c>
      <c r="D244" t="str">
        <f>IFERROR(__xludf.DUMMYFUNCTION("""COMPUTED_VALUE"""),"LA CASA DI ANTONIO")</f>
        <v>LA CASA DI ANTONIO</v>
      </c>
      <c r="E244" t="str">
        <f>IFERROR(__xludf.DUMMYFUNCTION("""COMPUTED_VALUE"""),"ANTONIO ANDRISANI")</f>
        <v>ANTONIO ANDRISANI</v>
      </c>
      <c r="F244" t="str">
        <f>IFERROR(__xludf.DUMMYFUNCTION("""COMPUTED_VALUE"""),"VIA DELLA CROCE 53/F")</f>
        <v>VIA DELLA CROCE 53/F</v>
      </c>
      <c r="G244" t="str">
        <f>IFERROR(__xludf.DUMMYFUNCTION("""COMPUTED_VALUE"""),"Matera")</f>
        <v>Matera</v>
      </c>
      <c r="H244" t="str">
        <f>IFERROR(__xludf.DUMMYFUNCTION("""COMPUTED_VALUE"""),"Italy")</f>
        <v>Italy</v>
      </c>
      <c r="I244">
        <f>IFERROR(__xludf.DUMMYFUNCTION("""COMPUTED_VALUE"""),947.0)</f>
        <v>947</v>
      </c>
      <c r="J244">
        <f>IFERROR(__xludf.DUMMYFUNCTION("""COMPUTED_VALUE"""),8.0)</f>
        <v>8</v>
      </c>
      <c r="K244">
        <f>IFERROR(__xludf.DUMMYFUNCTION("""COMPUTED_VALUE"""),71.0)</f>
        <v>71</v>
      </c>
      <c r="L244" t="str">
        <f>IFERROR(__xludf.DUMMYFUNCTION("""COMPUTED_VALUE"""),"NDRNNV66H28F052E")</f>
        <v>NDRNNV66H28F052E</v>
      </c>
      <c r="M244">
        <f>IFERROR(__xludf.DUMMYFUNCTION("""COMPUTED_VALUE"""),4.0)</f>
        <v>4</v>
      </c>
      <c r="N244">
        <f>IFERROR(__xludf.DUMMYFUNCTION("""COMPUTED_VALUE"""),42732.0)</f>
        <v>42732</v>
      </c>
      <c r="O244">
        <f>IFERROR(__xludf.DUMMYFUNCTION("""COMPUTED_VALUE"""),1807.0)</f>
        <v>1807</v>
      </c>
    </row>
    <row r="245">
      <c r="A245">
        <f>IFERROR(__xludf.DUMMYFUNCTION("""COMPUTED_VALUE"""),40.6645168199093)</f>
        <v>40.66451682</v>
      </c>
      <c r="B245">
        <f>IFERROR(__xludf.DUMMYFUNCTION("""COMPUTED_VALUE"""),16.6097982551154)</f>
        <v>16.60979826</v>
      </c>
      <c r="C245" t="str">
        <f>IFERROR(__xludf.DUMMYFUNCTION("""COMPUTED_VALUE"""),"Casa Vacanza")</f>
        <v>Casa Vacanza</v>
      </c>
      <c r="D245" t="str">
        <f>IFERROR(__xludf.DUMMYFUNCTION("""COMPUTED_VALUE"""),"LA CASA DI CARMEZIA")</f>
        <v>LA CASA DI CARMEZIA</v>
      </c>
      <c r="E245" t="str">
        <f>IFERROR(__xludf.DUMMYFUNCTION("""COMPUTED_VALUE"""),"GRIECO MICHELE")</f>
        <v>GRIECO MICHELE</v>
      </c>
      <c r="F245" t="str">
        <f>IFERROR(__xludf.DUMMYFUNCTION("""COMPUTED_VALUE"""),"VIA GRADONI MUNICIPIO 14")</f>
        <v>VIA GRADONI MUNICIPIO 14</v>
      </c>
      <c r="G245" t="str">
        <f>IFERROR(__xludf.DUMMYFUNCTION("""COMPUTED_VALUE"""),"Matera")</f>
        <v>Matera</v>
      </c>
      <c r="H245" t="str">
        <f>IFERROR(__xludf.DUMMYFUNCTION("""COMPUTED_VALUE"""),"Italy")</f>
        <v>Italy</v>
      </c>
      <c r="I245">
        <f>IFERROR(__xludf.DUMMYFUNCTION("""COMPUTED_VALUE"""),1815.0)</f>
        <v>1815</v>
      </c>
      <c r="J245">
        <f>IFERROR(__xludf.DUMMYFUNCTION("""COMPUTED_VALUE"""),5.0)</f>
        <v>5</v>
      </c>
      <c r="K245">
        <f>IFERROR(__xludf.DUMMYFUNCTION("""COMPUTED_VALUE"""),159.0)</f>
        <v>159</v>
      </c>
      <c r="L245" t="str">
        <f>IFERROR(__xludf.DUMMYFUNCTION("""COMPUTED_VALUE"""),"GRCMHL63D29F201F")</f>
        <v>GRCMHL63D29F201F</v>
      </c>
      <c r="M245">
        <f>IFERROR(__xludf.DUMMYFUNCTION("""COMPUTED_VALUE"""),2.0)</f>
        <v>2</v>
      </c>
      <c r="N245">
        <f>IFERROR(__xludf.DUMMYFUNCTION("""COMPUTED_VALUE"""),43365.0)</f>
        <v>43365</v>
      </c>
      <c r="O245" t="str">
        <f>IFERROR(__xludf.DUMMYFUNCTION("""COMPUTED_VALUE"""),"")</f>
        <v/>
      </c>
    </row>
    <row r="246">
      <c r="A246">
        <f>IFERROR(__xludf.DUMMYFUNCTION("""COMPUTED_VALUE"""),40.6602956)</f>
        <v>40.6602956</v>
      </c>
      <c r="B246">
        <f>IFERROR(__xludf.DUMMYFUNCTION("""COMPUTED_VALUE"""),16.6090475)</f>
        <v>16.6090475</v>
      </c>
      <c r="C246" t="str">
        <f>IFERROR(__xludf.DUMMYFUNCTION("""COMPUTED_VALUE"""),"Casa Vacanza")</f>
        <v>Casa Vacanza</v>
      </c>
      <c r="D246" t="str">
        <f>IFERROR(__xludf.DUMMYFUNCTION("""COMPUTED_VALUE"""),"LA CASA DI DEVA")</f>
        <v>LA CASA DI DEVA</v>
      </c>
      <c r="E246" t="str">
        <f>IFERROR(__xludf.DUMMYFUNCTION("""COMPUTED_VALUE"""),"CORETTI NUNZIA ANNA")</f>
        <v>CORETTI NUNZIA ANNA</v>
      </c>
      <c r="F246" t="str">
        <f>IFERROR(__xludf.DUMMYFUNCTION("""COMPUTED_VALUE"""),"VIA DON L. MILANI 6")</f>
        <v>VIA DON L. MILANI 6</v>
      </c>
      <c r="G246" t="str">
        <f>IFERROR(__xludf.DUMMYFUNCTION("""COMPUTED_VALUE"""),"Matera")</f>
        <v>Matera</v>
      </c>
      <c r="H246" t="str">
        <f>IFERROR(__xludf.DUMMYFUNCTION("""COMPUTED_VALUE"""),"Italy")</f>
        <v>Italy</v>
      </c>
      <c r="I246">
        <f>IFERROR(__xludf.DUMMYFUNCTION("""COMPUTED_VALUE"""),363.0)</f>
        <v>363</v>
      </c>
      <c r="J246">
        <f>IFERROR(__xludf.DUMMYFUNCTION("""COMPUTED_VALUE"""),13.0)</f>
        <v>13</v>
      </c>
      <c r="K246">
        <f>IFERROR(__xludf.DUMMYFUNCTION("""COMPUTED_VALUE"""),103.0)</f>
        <v>103</v>
      </c>
      <c r="L246" t="str">
        <f>IFERROR(__xludf.DUMMYFUNCTION("""COMPUTED_VALUE"""),"CRTNZN64B64F052F")</f>
        <v>CRTNZN64B64F052F</v>
      </c>
      <c r="M246">
        <f>IFERROR(__xludf.DUMMYFUNCTION("""COMPUTED_VALUE"""),2.0)</f>
        <v>2</v>
      </c>
      <c r="N246">
        <f>IFERROR(__xludf.DUMMYFUNCTION("""COMPUTED_VALUE"""),42110.0)</f>
        <v>42110</v>
      </c>
      <c r="O246">
        <f>IFERROR(__xludf.DUMMYFUNCTION("""COMPUTED_VALUE"""),2003.0)</f>
        <v>2003</v>
      </c>
    </row>
    <row r="247">
      <c r="A247">
        <f>IFERROR(__xludf.DUMMYFUNCTION("""COMPUTED_VALUE"""),40.6690070287582)</f>
        <v>40.66900703</v>
      </c>
      <c r="B247">
        <f>IFERROR(__xludf.DUMMYFUNCTION("""COMPUTED_VALUE"""),16.6009182564485)</f>
        <v>16.60091826</v>
      </c>
      <c r="C247" t="str">
        <f>IFERROR(__xludf.DUMMYFUNCTION("""COMPUTED_VALUE"""),"Casa Vacanza")</f>
        <v>Casa Vacanza</v>
      </c>
      <c r="D247" t="str">
        <f>IFERROR(__xludf.DUMMYFUNCTION("""COMPUTED_VALUE"""),"LA CASA DI EUS")</f>
        <v>LA CASA DI EUS</v>
      </c>
      <c r="E247" t="str">
        <f>IFERROR(__xludf.DUMMYFUNCTION("""COMPUTED_VALUE"""),"EUSTACHIO NICOLETTI")</f>
        <v>EUSTACHIO NICOLETTI</v>
      </c>
      <c r="F247" t="str">
        <f>IFERROR(__xludf.DUMMYFUNCTION("""COMPUTED_VALUE"""),"VIA DANTE 48")</f>
        <v>VIA DANTE 48</v>
      </c>
      <c r="G247" t="str">
        <f>IFERROR(__xludf.DUMMYFUNCTION("""COMPUTED_VALUE"""),"Matera")</f>
        <v>Matera</v>
      </c>
      <c r="H247" t="str">
        <f>IFERROR(__xludf.DUMMYFUNCTION("""COMPUTED_VALUE"""),"Italy")</f>
        <v>Italy</v>
      </c>
      <c r="I247">
        <f>IFERROR(__xludf.DUMMYFUNCTION("""COMPUTED_VALUE"""),882.0)</f>
        <v>882</v>
      </c>
      <c r="J247">
        <f>IFERROR(__xludf.DUMMYFUNCTION("""COMPUTED_VALUE"""),27.0)</f>
        <v>27</v>
      </c>
      <c r="K247">
        <f>IFERROR(__xludf.DUMMYFUNCTION("""COMPUTED_VALUE"""),71.0)</f>
        <v>71</v>
      </c>
      <c r="L247" t="str">
        <f>IFERROR(__xludf.DUMMYFUNCTION("""COMPUTED_VALUE"""),"NCLSCH88R12F052J")</f>
        <v>NCLSCH88R12F052J</v>
      </c>
      <c r="M247">
        <f>IFERROR(__xludf.DUMMYFUNCTION("""COMPUTED_VALUE"""),4.0)</f>
        <v>4</v>
      </c>
      <c r="N247">
        <f>IFERROR(__xludf.DUMMYFUNCTION("""COMPUTED_VALUE"""),42111.0)</f>
        <v>42111</v>
      </c>
      <c r="O247">
        <f>IFERROR(__xludf.DUMMYFUNCTION("""COMPUTED_VALUE"""),1729.0)</f>
        <v>1729</v>
      </c>
    </row>
    <row r="248">
      <c r="A248">
        <f>IFERROR(__xludf.DUMMYFUNCTION("""COMPUTED_VALUE"""),40.668171)</f>
        <v>40.668171</v>
      </c>
      <c r="B248">
        <f>IFERROR(__xludf.DUMMYFUNCTION("""COMPUTED_VALUE"""),16.608849)</f>
        <v>16.608849</v>
      </c>
      <c r="C248" t="str">
        <f>IFERROR(__xludf.DUMMYFUNCTION("""COMPUTED_VALUE"""),"Casa Vacanza")</f>
        <v>Casa Vacanza</v>
      </c>
      <c r="D248" t="str">
        <f>IFERROR(__xludf.DUMMYFUNCTION("""COMPUTED_VALUE"""),"LA CASA DI GIANNI")</f>
        <v>LA CASA DI GIANNI</v>
      </c>
      <c r="E248" t="str">
        <f>IFERROR(__xludf.DUMMYFUNCTION("""COMPUTED_VALUE"""),"BARBARO PAOLA")</f>
        <v>BARBARO PAOLA</v>
      </c>
      <c r="F248" t="str">
        <f>IFERROR(__xludf.DUMMYFUNCTION("""COMPUTED_VALUE"""),"RIONE SAN BIAGIO 92")</f>
        <v>RIONE SAN BIAGIO 92</v>
      </c>
      <c r="G248" t="str">
        <f>IFERROR(__xludf.DUMMYFUNCTION("""COMPUTED_VALUE"""),"Matera")</f>
        <v>Matera</v>
      </c>
      <c r="H248" t="str">
        <f>IFERROR(__xludf.DUMMYFUNCTION("""COMPUTED_VALUE"""),"Italy")</f>
        <v>Italy</v>
      </c>
      <c r="I248">
        <f>IFERROR(__xludf.DUMMYFUNCTION("""COMPUTED_VALUE"""),2789.0)</f>
        <v>2789</v>
      </c>
      <c r="J248">
        <f>IFERROR(__xludf.DUMMYFUNCTION("""COMPUTED_VALUE"""),3.0)</f>
        <v>3</v>
      </c>
      <c r="K248">
        <f>IFERROR(__xludf.DUMMYFUNCTION("""COMPUTED_VALUE"""),159.0)</f>
        <v>159</v>
      </c>
      <c r="L248" t="str">
        <f>IFERROR(__xludf.DUMMYFUNCTION("""COMPUTED_VALUE"""),"BRBPLA60R45F052O")</f>
        <v>BRBPLA60R45F052O</v>
      </c>
      <c r="M248">
        <f>IFERROR(__xludf.DUMMYFUNCTION("""COMPUTED_VALUE"""),2.0)</f>
        <v>2</v>
      </c>
      <c r="N248">
        <f>IFERROR(__xludf.DUMMYFUNCTION("""COMPUTED_VALUE"""),42249.0)</f>
        <v>42249</v>
      </c>
      <c r="O248" t="str">
        <f>IFERROR(__xludf.DUMMYFUNCTION("""COMPUTED_VALUE"""),"")</f>
        <v/>
      </c>
    </row>
    <row r="249">
      <c r="A249">
        <f>IFERROR(__xludf.DUMMYFUNCTION("""COMPUTED_VALUE"""),40.6683727598462)</f>
        <v>40.66837276</v>
      </c>
      <c r="B249">
        <f>IFERROR(__xludf.DUMMYFUNCTION("""COMPUTED_VALUE"""),16.6092008873858)</f>
        <v>16.60920089</v>
      </c>
      <c r="C249" t="str">
        <f>IFERROR(__xludf.DUMMYFUNCTION("""COMPUTED_VALUE"""),"Casa Vacanza")</f>
        <v>Casa Vacanza</v>
      </c>
      <c r="D249" t="str">
        <f>IFERROR(__xludf.DUMMYFUNCTION("""COMPUTED_VALUE"""),"LA CASA DI GIO'")</f>
        <v>LA CASA DI GIO'</v>
      </c>
      <c r="E249" t="str">
        <f>IFERROR(__xludf.DUMMYFUNCTION("""COMPUTED_VALUE"""),"GERARDO MAURIELLO")</f>
        <v>GERARDO MAURIELLO</v>
      </c>
      <c r="F249" t="str">
        <f>IFERROR(__xludf.DUMMYFUNCTION("""COMPUTED_VALUE"""),"RIONE SAN BIAGIO 43")</f>
        <v>RIONE SAN BIAGIO 43</v>
      </c>
      <c r="G249" t="str">
        <f>IFERROR(__xludf.DUMMYFUNCTION("""COMPUTED_VALUE"""),"Matera")</f>
        <v>Matera</v>
      </c>
      <c r="H249" t="str">
        <f>IFERROR(__xludf.DUMMYFUNCTION("""COMPUTED_VALUE"""),"Italy")</f>
        <v>Italy</v>
      </c>
      <c r="I249">
        <f>IFERROR(__xludf.DUMMYFUNCTION("""COMPUTED_VALUE"""),219.0)</f>
        <v>219</v>
      </c>
      <c r="J249">
        <f>IFERROR(__xludf.DUMMYFUNCTION("""COMPUTED_VALUE"""),5.0)</f>
        <v>5</v>
      </c>
      <c r="K249">
        <f>IFERROR(__xludf.DUMMYFUNCTION("""COMPUTED_VALUE"""),159.0)</f>
        <v>159</v>
      </c>
      <c r="L249" t="str">
        <f>IFERROR(__xludf.DUMMYFUNCTION("""COMPUTED_VALUE"""),"MRLGRD79E28F052Y")</f>
        <v>MRLGRD79E28F052Y</v>
      </c>
      <c r="M249">
        <f>IFERROR(__xludf.DUMMYFUNCTION("""COMPUTED_VALUE"""),3.0)</f>
        <v>3</v>
      </c>
      <c r="N249">
        <f>IFERROR(__xludf.DUMMYFUNCTION("""COMPUTED_VALUE"""),41943.0)</f>
        <v>41943</v>
      </c>
      <c r="O249" t="str">
        <f>IFERROR(__xludf.DUMMYFUNCTION("""COMPUTED_VALUE"""),"")</f>
        <v/>
      </c>
    </row>
    <row r="250">
      <c r="A250">
        <f>IFERROR(__xludf.DUMMYFUNCTION("""COMPUTED_VALUE"""),40.6591602)</f>
        <v>40.6591602</v>
      </c>
      <c r="B250">
        <f>IFERROR(__xludf.DUMMYFUNCTION("""COMPUTED_VALUE"""),16.6153481)</f>
        <v>16.6153481</v>
      </c>
      <c r="C250" t="str">
        <f>IFERROR(__xludf.DUMMYFUNCTION("""COMPUTED_VALUE"""),"Casa Vacanza")</f>
        <v>Casa Vacanza</v>
      </c>
      <c r="D250" t="str">
        <f>IFERROR(__xludf.DUMMYFUNCTION("""COMPUTED_VALUE"""),"LA CASA DI GRANNO")</f>
        <v>LA CASA DI GRANNO</v>
      </c>
      <c r="E250" t="str">
        <f>IFERROR(__xludf.DUMMYFUNCTION("""COMPUTED_VALUE"""),"NOVIELLO MARIA")</f>
        <v>NOVIELLO MARIA</v>
      </c>
      <c r="F250" t="str">
        <f>IFERROR(__xludf.DUMMYFUNCTION("""COMPUTED_VALUE"""),"VIA CASALNUOVO 231")</f>
        <v>VIA CASALNUOVO 231</v>
      </c>
      <c r="G250" t="str">
        <f>IFERROR(__xludf.DUMMYFUNCTION("""COMPUTED_VALUE"""),"Matera")</f>
        <v>Matera</v>
      </c>
      <c r="H250" t="str">
        <f>IFERROR(__xludf.DUMMYFUNCTION("""COMPUTED_VALUE"""),"Italy")</f>
        <v>Italy</v>
      </c>
      <c r="I250">
        <f>IFERROR(__xludf.DUMMYFUNCTION("""COMPUTED_VALUE"""),2958.0)</f>
        <v>2958</v>
      </c>
      <c r="J250">
        <f>IFERROR(__xludf.DUMMYFUNCTION("""COMPUTED_VALUE"""),9.0)</f>
        <v>9</v>
      </c>
      <c r="K250">
        <f>IFERROR(__xludf.DUMMYFUNCTION("""COMPUTED_VALUE"""),159.0)</f>
        <v>159</v>
      </c>
      <c r="L250" t="str">
        <f>IFERROR(__xludf.DUMMYFUNCTION("""COMPUTED_VALUE"""),"NVLMRA75R46F052A")</f>
        <v>NVLMRA75R46F052A</v>
      </c>
      <c r="M250">
        <f>IFERROR(__xludf.DUMMYFUNCTION("""COMPUTED_VALUE"""),6.0)</f>
        <v>6</v>
      </c>
      <c r="N250">
        <f>IFERROR(__xludf.DUMMYFUNCTION("""COMPUTED_VALUE"""),42852.0)</f>
        <v>42852</v>
      </c>
      <c r="O250">
        <f>IFERROR(__xludf.DUMMYFUNCTION("""COMPUTED_VALUE"""),1900.0)</f>
        <v>1900</v>
      </c>
    </row>
    <row r="251">
      <c r="A251">
        <f>IFERROR(__xludf.DUMMYFUNCTION("""COMPUTED_VALUE"""),40.6629862167573)</f>
        <v>40.66298622</v>
      </c>
      <c r="B251">
        <f>IFERROR(__xludf.DUMMYFUNCTION("""COMPUTED_VALUE"""),16.6118421928539)</f>
        <v>16.61184219</v>
      </c>
      <c r="C251" t="str">
        <f>IFERROR(__xludf.DUMMYFUNCTION("""COMPUTED_VALUE"""),"Casa Vacanza")</f>
        <v>Casa Vacanza</v>
      </c>
      <c r="D251" t="str">
        <f>IFERROR(__xludf.DUMMYFUNCTION("""COMPUTED_VALUE"""),"LA CASA DI IRENE")</f>
        <v>LA CASA DI IRENE</v>
      </c>
      <c r="E251" t="str">
        <f>IFERROR(__xludf.DUMMYFUNCTION("""COMPUTED_VALUE"""),"PAOLICELLI MARIA CHIARA")</f>
        <v>PAOLICELLI MARIA CHIARA</v>
      </c>
      <c r="F251" t="str">
        <f>IFERROR(__xludf.DUMMYFUNCTION("""COMPUTED_VALUE"""),"VIA BRUNO BUOZZI 64")</f>
        <v>VIA BRUNO BUOZZI 64</v>
      </c>
      <c r="G251" t="str">
        <f>IFERROR(__xludf.DUMMYFUNCTION("""COMPUTED_VALUE"""),"Matera")</f>
        <v>Matera</v>
      </c>
      <c r="H251" t="str">
        <f>IFERROR(__xludf.DUMMYFUNCTION("""COMPUTED_VALUE"""),"Italy")</f>
        <v>Italy</v>
      </c>
      <c r="I251">
        <f>IFERROR(__xludf.DUMMYFUNCTION("""COMPUTED_VALUE"""),2262.0)</f>
        <v>2262</v>
      </c>
      <c r="J251">
        <f>IFERROR(__xludf.DUMMYFUNCTION("""COMPUTED_VALUE"""),2.0)</f>
        <v>2</v>
      </c>
      <c r="K251">
        <f>IFERROR(__xludf.DUMMYFUNCTION("""COMPUTED_VALUE"""),159.0)</f>
        <v>159</v>
      </c>
      <c r="L251" t="str">
        <f>IFERROR(__xludf.DUMMYFUNCTION("""COMPUTED_VALUE"""),"PLCCRM53M56F052H")</f>
        <v>PLCCRM53M56F052H</v>
      </c>
      <c r="M251">
        <f>IFERROR(__xludf.DUMMYFUNCTION("""COMPUTED_VALUE"""),3.0)</f>
        <v>3</v>
      </c>
      <c r="N251" t="str">
        <f>IFERROR(__xludf.DUMMYFUNCTION("""COMPUTED_VALUE"""),"")</f>
        <v/>
      </c>
      <c r="O251" t="str">
        <f>IFERROR(__xludf.DUMMYFUNCTION("""COMPUTED_VALUE"""),"")</f>
        <v/>
      </c>
    </row>
    <row r="252">
      <c r="A252">
        <f>IFERROR(__xludf.DUMMYFUNCTION("""COMPUTED_VALUE"""),40.666379)</f>
        <v>40.666379</v>
      </c>
      <c r="B252">
        <f>IFERROR(__xludf.DUMMYFUNCTION("""COMPUTED_VALUE"""),16.6043199)</f>
        <v>16.6043199</v>
      </c>
      <c r="C252" t="str">
        <f>IFERROR(__xludf.DUMMYFUNCTION("""COMPUTED_VALUE"""),"Casa Vacanza")</f>
        <v>Casa Vacanza</v>
      </c>
      <c r="D252" t="str">
        <f>IFERROR(__xludf.DUMMYFUNCTION("""COMPUTED_VALUE"""),"LA CASA DI MELORY")</f>
        <v>LA CASA DI MELORY</v>
      </c>
      <c r="E252" t="str">
        <f>IFERROR(__xludf.DUMMYFUNCTION("""COMPUTED_VALUE"""),"MUSCARIDOLA MARIA RAFFAELLAVIA PASSARELLI 35")</f>
        <v>MUSCARIDOLA MARIA RAFFAELLAVIA PASSARELLI 35</v>
      </c>
      <c r="F252" t="str">
        <f>IFERROR(__xludf.DUMMYFUNCTION("""COMPUTED_VALUE"""),"")</f>
        <v/>
      </c>
      <c r="G252" t="str">
        <f>IFERROR(__xludf.DUMMYFUNCTION("""COMPUTED_VALUE"""),"Matera")</f>
        <v>Matera</v>
      </c>
      <c r="H252" t="str">
        <f>IFERROR(__xludf.DUMMYFUNCTION("""COMPUTED_VALUE"""),"Italy")</f>
        <v>Italy</v>
      </c>
      <c r="I252">
        <f>IFERROR(__xludf.DUMMYFUNCTION("""COMPUTED_VALUE"""),2260.0)</f>
        <v>2260</v>
      </c>
      <c r="J252">
        <f>IFERROR(__xludf.DUMMYFUNCTION("""COMPUTED_VALUE"""),45.0)</f>
        <v>45</v>
      </c>
      <c r="K252">
        <f>IFERROR(__xludf.DUMMYFUNCTION("""COMPUTED_VALUE"""),71.0)</f>
        <v>71</v>
      </c>
      <c r="L252" t="str">
        <f>IFERROR(__xludf.DUMMYFUNCTION("""COMPUTED_VALUE"""),"MSCMRF73D65F052Y")</f>
        <v>MSCMRF73D65F052Y</v>
      </c>
      <c r="M252">
        <f>IFERROR(__xludf.DUMMYFUNCTION("""COMPUTED_VALUE"""),1.0)</f>
        <v>1</v>
      </c>
      <c r="N252">
        <f>IFERROR(__xludf.DUMMYFUNCTION("""COMPUTED_VALUE"""),42719.0)</f>
        <v>42719</v>
      </c>
      <c r="O252" t="str">
        <f>IFERROR(__xludf.DUMMYFUNCTION("""COMPUTED_VALUE"""),"")</f>
        <v/>
      </c>
    </row>
    <row r="253">
      <c r="A253">
        <f>IFERROR(__xludf.DUMMYFUNCTION("""COMPUTED_VALUE"""),40.6642276864936)</f>
        <v>40.66422769</v>
      </c>
      <c r="B253">
        <f>IFERROR(__xludf.DUMMYFUNCTION("""COMPUTED_VALUE"""),16.6000913657942)</f>
        <v>16.60009137</v>
      </c>
      <c r="C253" t="str">
        <f>IFERROR(__xludf.DUMMYFUNCTION("""COMPUTED_VALUE"""),"Casa Vacanza")</f>
        <v>Casa Vacanza</v>
      </c>
      <c r="D253" t="str">
        <f>IFERROR(__xludf.DUMMYFUNCTION("""COMPUTED_VALUE"""),"LA CASA DI RINO")</f>
        <v>LA CASA DI RINO</v>
      </c>
      <c r="E253" t="str">
        <f>IFERROR(__xludf.DUMMYFUNCTION("""COMPUTED_VALUE"""),"IACOVONE COSIMO GIUSEPPE")</f>
        <v>IACOVONE COSIMO GIUSEPPE</v>
      </c>
      <c r="F253" t="str">
        <f>IFERROR(__xludf.DUMMYFUNCTION("""COMPUTED_VALUE"""),"VIA V. CAPPELLUTI 65 1 PIANO")</f>
        <v>VIA V. CAPPELLUTI 65 1 PIANO</v>
      </c>
      <c r="G253" t="str">
        <f>IFERROR(__xludf.DUMMYFUNCTION("""COMPUTED_VALUE"""),"Matera")</f>
        <v>Matera</v>
      </c>
      <c r="H253" t="str">
        <f>IFERROR(__xludf.DUMMYFUNCTION("""COMPUTED_VALUE"""),"Italy")</f>
        <v>Italy</v>
      </c>
      <c r="I253">
        <f>IFERROR(__xludf.DUMMYFUNCTION("""COMPUTED_VALUE"""),448.0)</f>
        <v>448</v>
      </c>
      <c r="J253">
        <f>IFERROR(__xludf.DUMMYFUNCTION("""COMPUTED_VALUE"""),11.0)</f>
        <v>11</v>
      </c>
      <c r="K253">
        <f>IFERROR(__xludf.DUMMYFUNCTION("""COMPUTED_VALUE"""),71.0)</f>
        <v>71</v>
      </c>
      <c r="L253" t="str">
        <f>IFERROR(__xludf.DUMMYFUNCTION("""COMPUTED_VALUE"""),"CVNCMG75H14F052H")</f>
        <v>CVNCMG75H14F052H</v>
      </c>
      <c r="M253">
        <f>IFERROR(__xludf.DUMMYFUNCTION("""COMPUTED_VALUE"""),2.0)</f>
        <v>2</v>
      </c>
      <c r="N253">
        <f>IFERROR(__xludf.DUMMYFUNCTION("""COMPUTED_VALUE"""),42756.0)</f>
        <v>42756</v>
      </c>
      <c r="O253" t="str">
        <f>IFERROR(__xludf.DUMMYFUNCTION("""COMPUTED_VALUE"""),"")</f>
        <v/>
      </c>
    </row>
    <row r="254">
      <c r="A254">
        <f>IFERROR(__xludf.DUMMYFUNCTION("""COMPUTED_VALUE"""),40.6672354)</f>
        <v>40.6672354</v>
      </c>
      <c r="B254">
        <f>IFERROR(__xludf.DUMMYFUNCTION("""COMPUTED_VALUE"""),16.6036485)</f>
        <v>16.6036485</v>
      </c>
      <c r="C254" t="str">
        <f>IFERROR(__xludf.DUMMYFUNCTION("""COMPUTED_VALUE"""),"Casa Vacanza")</f>
        <v>Casa Vacanza</v>
      </c>
      <c r="D254" t="str">
        <f>IFERROR(__xludf.DUMMYFUNCTION("""COMPUTED_VALUE"""),"LA CASA DI THOMAS")</f>
        <v>LA CASA DI THOMAS</v>
      </c>
      <c r="E254" t="str">
        <f>IFERROR(__xludf.DUMMYFUNCTION("""COMPUTED_VALUE"""),"FONTANA ROSARIA")</f>
        <v>FONTANA ROSARIA</v>
      </c>
      <c r="F254" t="str">
        <f>IFERROR(__xludf.DUMMYFUNCTION("""COMPUTED_VALUE"""),"RECINTO VIA ROMA 7")</f>
        <v>RECINTO VIA ROMA 7</v>
      </c>
      <c r="G254" t="str">
        <f>IFERROR(__xludf.DUMMYFUNCTION("""COMPUTED_VALUE"""),"Matera")</f>
        <v>Matera</v>
      </c>
      <c r="H254" t="str">
        <f>IFERROR(__xludf.DUMMYFUNCTION("""COMPUTED_VALUE"""),"Italy")</f>
        <v>Italy</v>
      </c>
      <c r="I254">
        <f>IFERROR(__xludf.DUMMYFUNCTION("""COMPUTED_VALUE"""),2710.0)</f>
        <v>2710</v>
      </c>
      <c r="J254">
        <f>IFERROR(__xludf.DUMMYFUNCTION("""COMPUTED_VALUE"""),46.0)</f>
        <v>46</v>
      </c>
      <c r="K254">
        <f>IFERROR(__xludf.DUMMYFUNCTION("""COMPUTED_VALUE"""),159.0)</f>
        <v>159</v>
      </c>
      <c r="L254" t="str">
        <f>IFERROR(__xludf.DUMMYFUNCTION("""COMPUTED_VALUE"""),"FNTRSR77P58F052X")</f>
        <v>FNTRSR77P58F052X</v>
      </c>
      <c r="M254">
        <f>IFERROR(__xludf.DUMMYFUNCTION("""COMPUTED_VALUE"""),4.0)</f>
        <v>4</v>
      </c>
      <c r="N254">
        <f>IFERROR(__xludf.DUMMYFUNCTION("""COMPUTED_VALUE"""),42887.0)</f>
        <v>42887</v>
      </c>
      <c r="O254">
        <f>IFERROR(__xludf.DUMMYFUNCTION("""COMPUTED_VALUE"""),1708.0)</f>
        <v>1708</v>
      </c>
    </row>
    <row r="255">
      <c r="A255">
        <f>IFERROR(__xludf.DUMMYFUNCTION("""COMPUTED_VALUE"""),40.6689760354837)</f>
        <v>40.66897604</v>
      </c>
      <c r="B255">
        <f>IFERROR(__xludf.DUMMYFUNCTION("""COMPUTED_VALUE"""),16.6082588487013)</f>
        <v>16.60825885</v>
      </c>
      <c r="C255" t="str">
        <f>IFERROR(__xludf.DUMMYFUNCTION("""COMPUTED_VALUE"""),"Casa Vacanza")</f>
        <v>Casa Vacanza</v>
      </c>
      <c r="D255" t="str">
        <f>IFERROR(__xludf.DUMMYFUNCTION("""COMPUTED_VALUE"""),"LA CASA DI TITTI")</f>
        <v>LA CASA DI TITTI</v>
      </c>
      <c r="E255" t="str">
        <f>IFERROR(__xludf.DUMMYFUNCTION("""COMPUTED_VALUE"""),"BIA ANNUNZIATA")</f>
        <v>BIA ANNUNZIATA</v>
      </c>
      <c r="F255" t="str">
        <f>IFERROR(__xludf.DUMMYFUNCTION("""COMPUTED_VALUE"""),"REC.1° PIAVE  11BIS")</f>
        <v>REC.1° PIAVE  11BIS</v>
      </c>
      <c r="G255" t="str">
        <f>IFERROR(__xludf.DUMMYFUNCTION("""COMPUTED_VALUE"""),"Matera")</f>
        <v>Matera</v>
      </c>
      <c r="H255" t="str">
        <f>IFERROR(__xludf.DUMMYFUNCTION("""COMPUTED_VALUE"""),"Italy")</f>
        <v>Italy</v>
      </c>
      <c r="I255">
        <f>IFERROR(__xludf.DUMMYFUNCTION("""COMPUTED_VALUE"""),3797.0)</f>
        <v>3797</v>
      </c>
      <c r="J255">
        <f>IFERROR(__xludf.DUMMYFUNCTION("""COMPUTED_VALUE"""),18.0)</f>
        <v>18</v>
      </c>
      <c r="K255">
        <f>IFERROR(__xludf.DUMMYFUNCTION("""COMPUTED_VALUE"""),159.0)</f>
        <v>159</v>
      </c>
      <c r="L255" t="str">
        <f>IFERROR(__xludf.DUMMYFUNCTION("""COMPUTED_VALUE"""),"BIANNZ64A60F052G")</f>
        <v>BIANNZ64A60F052G</v>
      </c>
      <c r="M255">
        <f>IFERROR(__xludf.DUMMYFUNCTION("""COMPUTED_VALUE"""),4.0)</f>
        <v>4</v>
      </c>
      <c r="N255">
        <f>IFERROR(__xludf.DUMMYFUNCTION("""COMPUTED_VALUE"""),42410.0)</f>
        <v>42410</v>
      </c>
      <c r="O255" t="str">
        <f>IFERROR(__xludf.DUMMYFUNCTION("""COMPUTED_VALUE"""),"")</f>
        <v/>
      </c>
    </row>
    <row r="256">
      <c r="A256">
        <f>IFERROR(__xludf.DUMMYFUNCTION("""COMPUTED_VALUE"""),40.67583)</f>
        <v>40.67583</v>
      </c>
      <c r="B256">
        <f>IFERROR(__xludf.DUMMYFUNCTION("""COMPUTED_VALUE"""),16.598569)</f>
        <v>16.598569</v>
      </c>
      <c r="C256" t="str">
        <f>IFERROR(__xludf.DUMMYFUNCTION("""COMPUTED_VALUE"""),"Casa Vacanza")</f>
        <v>Casa Vacanza</v>
      </c>
      <c r="D256" t="str">
        <f>IFERROR(__xludf.DUMMYFUNCTION("""COMPUTED_VALUE"""),"LA CASA DI ZIA BENEDETTA")</f>
        <v>LA CASA DI ZIA BENEDETTA</v>
      </c>
      <c r="E256" t="str">
        <f>IFERROR(__xludf.DUMMYFUNCTION("""COMPUTED_VALUE"""),"ZACCARO ROSARIA")</f>
        <v>ZACCARO ROSARIA</v>
      </c>
      <c r="F256" t="str">
        <f>IFERROR(__xludf.DUMMYFUNCTION("""COMPUTED_VALUE"""),"VIA SALVO D'ACQUISTO 10")</f>
        <v>VIA SALVO D'ACQUISTO 10</v>
      </c>
      <c r="G256" t="str">
        <f>IFERROR(__xludf.DUMMYFUNCTION("""COMPUTED_VALUE"""),"Matera")</f>
        <v>Matera</v>
      </c>
      <c r="H256" t="str">
        <f>IFERROR(__xludf.DUMMYFUNCTION("""COMPUTED_VALUE"""),"Italy")</f>
        <v>Italy</v>
      </c>
      <c r="I256">
        <f>IFERROR(__xludf.DUMMYFUNCTION("""COMPUTED_VALUE"""),223.0)</f>
        <v>223</v>
      </c>
      <c r="J256">
        <f>IFERROR(__xludf.DUMMYFUNCTION("""COMPUTED_VALUE"""),29.0)</f>
        <v>29</v>
      </c>
      <c r="K256">
        <f>IFERROR(__xludf.DUMMYFUNCTION("""COMPUTED_VALUE"""),68.0)</f>
        <v>68</v>
      </c>
      <c r="L256" t="str">
        <f>IFERROR(__xludf.DUMMYFUNCTION("""COMPUTED_VALUE"""),"ZCCRSR73A62F052U")</f>
        <v>ZCCRSR73A62F052U</v>
      </c>
      <c r="M256">
        <f>IFERROR(__xludf.DUMMYFUNCTION("""COMPUTED_VALUE"""),3.0)</f>
        <v>3</v>
      </c>
      <c r="N256" t="str">
        <f>IFERROR(__xludf.DUMMYFUNCTION("""COMPUTED_VALUE"""),"")</f>
        <v/>
      </c>
      <c r="O256" t="str">
        <f>IFERROR(__xludf.DUMMYFUNCTION("""COMPUTED_VALUE"""),"")</f>
        <v/>
      </c>
    </row>
    <row r="257">
      <c r="A257">
        <f>IFERROR(__xludf.DUMMYFUNCTION("""COMPUTED_VALUE"""),40.6605463)</f>
        <v>40.6605463</v>
      </c>
      <c r="B257">
        <f>IFERROR(__xludf.DUMMYFUNCTION("""COMPUTED_VALUE"""),16.6133354)</f>
        <v>16.6133354</v>
      </c>
      <c r="C257" t="str">
        <f>IFERROR(__xludf.DUMMYFUNCTION("""COMPUTED_VALUE"""),"Casa Vacanza")</f>
        <v>Casa Vacanza</v>
      </c>
      <c r="D257" t="str">
        <f>IFERROR(__xludf.DUMMYFUNCTION("""COMPUTED_VALUE"""),"LA CASA NEL TUFO")</f>
        <v>LA CASA NEL TUFO</v>
      </c>
      <c r="E257" t="str">
        <f>IFERROR(__xludf.DUMMYFUNCTION("""COMPUTED_VALUE"""),"MARZO LUCIANA")</f>
        <v>MARZO LUCIANA</v>
      </c>
      <c r="F257" t="str">
        <f>IFERROR(__xludf.DUMMYFUNCTION("""COMPUTED_VALUE"""),"VIA CASALNUOVO 51")</f>
        <v>VIA CASALNUOVO 51</v>
      </c>
      <c r="G257" t="str">
        <f>IFERROR(__xludf.DUMMYFUNCTION("""COMPUTED_VALUE"""),"Matera")</f>
        <v>Matera</v>
      </c>
      <c r="H257" t="str">
        <f>IFERROR(__xludf.DUMMYFUNCTION("""COMPUTED_VALUE"""),"Italy")</f>
        <v>Italy</v>
      </c>
      <c r="I257">
        <f>IFERROR(__xludf.DUMMYFUNCTION("""COMPUTED_VALUE"""),2464.0)</f>
        <v>2464</v>
      </c>
      <c r="J257">
        <f>IFERROR(__xludf.DUMMYFUNCTION("""COMPUTED_VALUE"""),16.0)</f>
        <v>16</v>
      </c>
      <c r="K257">
        <f>IFERROR(__xludf.DUMMYFUNCTION("""COMPUTED_VALUE"""),159.0)</f>
        <v>159</v>
      </c>
      <c r="L257" t="str">
        <f>IFERROR(__xludf.DUMMYFUNCTION("""COMPUTED_VALUE"""),"MRZLCN79R45G786C")</f>
        <v>MRZLCN79R45G786C</v>
      </c>
      <c r="M257">
        <f>IFERROR(__xludf.DUMMYFUNCTION("""COMPUTED_VALUE"""),2.0)</f>
        <v>2</v>
      </c>
      <c r="N257">
        <f>IFERROR(__xludf.DUMMYFUNCTION("""COMPUTED_VALUE"""),42327.0)</f>
        <v>42327</v>
      </c>
      <c r="O257">
        <f>IFERROR(__xludf.DUMMYFUNCTION("""COMPUTED_VALUE"""),1754.0)</f>
        <v>1754</v>
      </c>
    </row>
    <row r="258">
      <c r="A258">
        <f>IFERROR(__xludf.DUMMYFUNCTION("""COMPUTED_VALUE"""),40.6674466206786)</f>
        <v>40.66744662</v>
      </c>
      <c r="B258">
        <f>IFERROR(__xludf.DUMMYFUNCTION("""COMPUTED_VALUE"""),16.6091292687308)</f>
        <v>16.60912927</v>
      </c>
      <c r="C258" t="str">
        <f>IFERROR(__xludf.DUMMYFUNCTION("""COMPUTED_VALUE"""),"Casa Vacanza")</f>
        <v>Casa Vacanza</v>
      </c>
      <c r="D258" t="str">
        <f>IFERROR(__xludf.DUMMYFUNCTION("""COMPUTED_VALUE"""),"LA CASA NEL VICOLO")</f>
        <v>LA CASA NEL VICOLO</v>
      </c>
      <c r="E258" t="str">
        <f>IFERROR(__xludf.DUMMYFUNCTION("""COMPUTED_VALUE"""),"ADDOLORATA OLIVIERI")</f>
        <v>ADDOLORATA OLIVIERI</v>
      </c>
      <c r="F258" t="str">
        <f>IFERROR(__xludf.DUMMYFUNCTION("""COMPUTED_VALUE"""),"VIA SALVEMINI 1")</f>
        <v>VIA SALVEMINI 1</v>
      </c>
      <c r="G258" t="str">
        <f>IFERROR(__xludf.DUMMYFUNCTION("""COMPUTED_VALUE"""),"Matera")</f>
        <v>Matera</v>
      </c>
      <c r="H258" t="str">
        <f>IFERROR(__xludf.DUMMYFUNCTION("""COMPUTED_VALUE"""),"Italy")</f>
        <v>Italy</v>
      </c>
      <c r="I258">
        <f>IFERROR(__xludf.DUMMYFUNCTION("""COMPUTED_VALUE"""),467.0)</f>
        <v>467</v>
      </c>
      <c r="J258">
        <f>IFERROR(__xludf.DUMMYFUNCTION("""COMPUTED_VALUE"""),2.0)</f>
        <v>2</v>
      </c>
      <c r="K258">
        <f>IFERROR(__xludf.DUMMYFUNCTION("""COMPUTED_VALUE"""),159.0)</f>
        <v>159</v>
      </c>
      <c r="L258" t="str">
        <f>IFERROR(__xludf.DUMMYFUNCTION("""COMPUTED_VALUE"""),"LVRDLR74H52F052R")</f>
        <v>LVRDLR74H52F052R</v>
      </c>
      <c r="M258">
        <f>IFERROR(__xludf.DUMMYFUNCTION("""COMPUTED_VALUE"""),5.0)</f>
        <v>5</v>
      </c>
      <c r="N258">
        <f>IFERROR(__xludf.DUMMYFUNCTION("""COMPUTED_VALUE"""),42486.0)</f>
        <v>42486</v>
      </c>
      <c r="O258" t="str">
        <f>IFERROR(__xludf.DUMMYFUNCTION("""COMPUTED_VALUE"""),"")</f>
        <v/>
      </c>
    </row>
    <row r="259">
      <c r="A259">
        <f>IFERROR(__xludf.DUMMYFUNCTION("""COMPUTED_VALUE"""),40.6704522540733)</f>
        <v>40.67045225</v>
      </c>
      <c r="B259">
        <f>IFERROR(__xludf.DUMMYFUNCTION("""COMPUTED_VALUE"""),16.6067501425271)</f>
        <v>16.60675014</v>
      </c>
      <c r="C259" t="str">
        <f>IFERROR(__xludf.DUMMYFUNCTION("""COMPUTED_VALUE"""),"Casa Vacanza")</f>
        <v>Casa Vacanza</v>
      </c>
      <c r="D259" t="str">
        <f>IFERROR(__xludf.DUMMYFUNCTION("""COMPUTED_VALUE"""),"LA CASA SUI SASSI")</f>
        <v>LA CASA SUI SASSI</v>
      </c>
      <c r="E259" t="str">
        <f>IFERROR(__xludf.DUMMYFUNCTION("""COMPUTED_VALUE"""),"GIANFRANCO DEMOLA")</f>
        <v>GIANFRANCO DEMOLA</v>
      </c>
      <c r="F259" t="str">
        <f>IFERROR(__xludf.DUMMYFUNCTION("""COMPUTED_VALUE"""),"VIA PENTASUGLIA 31")</f>
        <v>VIA PENTASUGLIA 31</v>
      </c>
      <c r="G259" t="str">
        <f>IFERROR(__xludf.DUMMYFUNCTION("""COMPUTED_VALUE"""),"Matera")</f>
        <v>Matera</v>
      </c>
      <c r="H259" t="str">
        <f>IFERROR(__xludf.DUMMYFUNCTION("""COMPUTED_VALUE"""),"Italy")</f>
        <v>Italy</v>
      </c>
      <c r="I259">
        <f>IFERROR(__xludf.DUMMYFUNCTION("""COMPUTED_VALUE"""),3590.0)</f>
        <v>3590</v>
      </c>
      <c r="J259">
        <f>IFERROR(__xludf.DUMMYFUNCTION("""COMPUTED_VALUE"""),23.0)</f>
        <v>23</v>
      </c>
      <c r="K259">
        <f>IFERROR(__xludf.DUMMYFUNCTION("""COMPUTED_VALUE"""),159.0)</f>
        <v>159</v>
      </c>
      <c r="L259" t="str">
        <f>IFERROR(__xludf.DUMMYFUNCTION("""COMPUTED_VALUE"""),"DMLGFR72A12F052X")</f>
        <v>DMLGFR72A12F052X</v>
      </c>
      <c r="M259">
        <f>IFERROR(__xludf.DUMMYFUNCTION("""COMPUTED_VALUE"""),3.0)</f>
        <v>3</v>
      </c>
      <c r="N259">
        <f>IFERROR(__xludf.DUMMYFUNCTION("""COMPUTED_VALUE"""),43133.0)</f>
        <v>43133</v>
      </c>
      <c r="O259" t="str">
        <f>IFERROR(__xludf.DUMMYFUNCTION("""COMPUTED_VALUE"""),"")</f>
        <v/>
      </c>
    </row>
    <row r="260">
      <c r="A260">
        <f>IFERROR(__xludf.DUMMYFUNCTION("""COMPUTED_VALUE"""),40.6669103)</f>
        <v>40.6669103</v>
      </c>
      <c r="B260">
        <f>IFERROR(__xludf.DUMMYFUNCTION("""COMPUTED_VALUE"""),16.6109091)</f>
        <v>16.6109091</v>
      </c>
      <c r="C260" t="str">
        <f>IFERROR(__xludf.DUMMYFUNCTION("""COMPUTED_VALUE"""),"Casa Vacanza")</f>
        <v>Casa Vacanza</v>
      </c>
      <c r="D260" t="str">
        <f>IFERROR(__xludf.DUMMYFUNCTION("""COMPUTED_VALUE"""),"LA CASA SUL CORTILE")</f>
        <v>LA CASA SUL CORTILE</v>
      </c>
      <c r="E260" t="str">
        <f>IFERROR(__xludf.DUMMYFUNCTION("""COMPUTED_VALUE"""),"PAOLA CARBONE")</f>
        <v>PAOLA CARBONE</v>
      </c>
      <c r="F260" t="str">
        <f>IFERROR(__xludf.DUMMYFUNCTION("""COMPUTED_VALUE"""),"Recinto Annunziata Vecchia 13")</f>
        <v>Recinto Annunziata Vecchia 13</v>
      </c>
      <c r="G260" t="str">
        <f>IFERROR(__xludf.DUMMYFUNCTION("""COMPUTED_VALUE"""),"Matera")</f>
        <v>Matera</v>
      </c>
      <c r="H260" t="str">
        <f>IFERROR(__xludf.DUMMYFUNCTION("""COMPUTED_VALUE"""),"Italy")</f>
        <v>Italy</v>
      </c>
      <c r="I260">
        <f>IFERROR(__xludf.DUMMYFUNCTION("""COMPUTED_VALUE"""),1125.0)</f>
        <v>1125</v>
      </c>
      <c r="J260">
        <f>IFERROR(__xludf.DUMMYFUNCTION("""COMPUTED_VALUE"""),8.0)</f>
        <v>8</v>
      </c>
      <c r="K260">
        <f>IFERROR(__xludf.DUMMYFUNCTION("""COMPUTED_VALUE"""),159.0)</f>
        <v>159</v>
      </c>
      <c r="L260" t="str">
        <f>IFERROR(__xludf.DUMMYFUNCTION("""COMPUTED_VALUE"""),"CRBPLA60M46F839L")</f>
        <v>CRBPLA60M46F839L</v>
      </c>
      <c r="M260">
        <f>IFERROR(__xludf.DUMMYFUNCTION("""COMPUTED_VALUE"""),6.0)</f>
        <v>6</v>
      </c>
      <c r="N260">
        <f>IFERROR(__xludf.DUMMYFUNCTION("""COMPUTED_VALUE"""),42168.0)</f>
        <v>42168</v>
      </c>
      <c r="O260">
        <f>IFERROR(__xludf.DUMMYFUNCTION("""COMPUTED_VALUE"""),1145.0)</f>
        <v>1145</v>
      </c>
    </row>
    <row r="261">
      <c r="A261">
        <f>IFERROR(__xludf.DUMMYFUNCTION("""COMPUTED_VALUE"""),40.669934)</f>
        <v>40.669934</v>
      </c>
      <c r="B261">
        <f>IFERROR(__xludf.DUMMYFUNCTION("""COMPUTED_VALUE"""),16.6077206)</f>
        <v>16.6077206</v>
      </c>
      <c r="C261" t="str">
        <f>IFERROR(__xludf.DUMMYFUNCTION("""COMPUTED_VALUE"""),"Casa Vacanza")</f>
        <v>Casa Vacanza</v>
      </c>
      <c r="D261" t="str">
        <f>IFERROR(__xludf.DUMMYFUNCTION("""COMPUTED_VALUE"""),"LA CASA SUL MELO")</f>
        <v>LA CASA SUL MELO</v>
      </c>
      <c r="E261" t="str">
        <f>IFERROR(__xludf.DUMMYFUNCTION("""COMPUTED_VALUE"""),"ANGELA RAFFAELLA ACITO")</f>
        <v>ANGELA RAFFAELLA ACITO</v>
      </c>
      <c r="F261" t="str">
        <f>IFERROR(__xludf.DUMMYFUNCTION("""COMPUTED_VALUE"""),"VIA F.PAOLO FESTA 6")</f>
        <v>VIA F.PAOLO FESTA 6</v>
      </c>
      <c r="G261" t="str">
        <f>IFERROR(__xludf.DUMMYFUNCTION("""COMPUTED_VALUE"""),"Matera")</f>
        <v>Matera</v>
      </c>
      <c r="H261" t="str">
        <f>IFERROR(__xludf.DUMMYFUNCTION("""COMPUTED_VALUE"""),"Italy")</f>
        <v>Italy</v>
      </c>
      <c r="I261">
        <f>IFERROR(__xludf.DUMMYFUNCTION("""COMPUTED_VALUE"""),3471.0)</f>
        <v>3471</v>
      </c>
      <c r="J261">
        <f>IFERROR(__xludf.DUMMYFUNCTION("""COMPUTED_VALUE"""),8.0)</f>
        <v>8</v>
      </c>
      <c r="K261">
        <f>IFERROR(__xludf.DUMMYFUNCTION("""COMPUTED_VALUE"""),159.0)</f>
        <v>159</v>
      </c>
      <c r="L261" t="str">
        <f>IFERROR(__xludf.DUMMYFUNCTION("""COMPUTED_VALUE"""),"CTANLR60C54F052F")</f>
        <v>CTANLR60C54F052F</v>
      </c>
      <c r="M261">
        <f>IFERROR(__xludf.DUMMYFUNCTION("""COMPUTED_VALUE"""),4.0)</f>
        <v>4</v>
      </c>
      <c r="N261">
        <f>IFERROR(__xludf.DUMMYFUNCTION("""COMPUTED_VALUE"""),42216.0)</f>
        <v>42216</v>
      </c>
      <c r="O261" t="str">
        <f>IFERROR(__xludf.DUMMYFUNCTION("""COMPUTED_VALUE"""),"")</f>
        <v/>
      </c>
    </row>
    <row r="262">
      <c r="A262">
        <f>IFERROR(__xludf.DUMMYFUNCTION("""COMPUTED_VALUE"""),40.6727689)</f>
        <v>40.6727689</v>
      </c>
      <c r="B262">
        <f>IFERROR(__xludf.DUMMYFUNCTION("""COMPUTED_VALUE"""),16.5994416)</f>
        <v>16.5994416</v>
      </c>
      <c r="C262" t="str">
        <f>IFERROR(__xludf.DUMMYFUNCTION("""COMPUTED_VALUE"""),"Casa Vacanza")</f>
        <v>Casa Vacanza</v>
      </c>
      <c r="D262" t="str">
        <f>IFERROR(__xludf.DUMMYFUNCTION("""COMPUTED_VALUE"""),"LA CASETTA AL 21")</f>
        <v>LA CASETTA AL 21</v>
      </c>
      <c r="E262" t="str">
        <f>IFERROR(__xludf.DUMMYFUNCTION("""COMPUTED_VALUE"""),"STAFFIERI MARIA")</f>
        <v>STAFFIERI MARIA</v>
      </c>
      <c r="F262" t="str">
        <f>IFERROR(__xludf.DUMMYFUNCTION("""COMPUTED_VALUE"""),"VIA DELLA CROCE 21")</f>
        <v>VIA DELLA CROCE 21</v>
      </c>
      <c r="G262" t="str">
        <f>IFERROR(__xludf.DUMMYFUNCTION("""COMPUTED_VALUE"""),"Matera")</f>
        <v>Matera</v>
      </c>
      <c r="H262" t="str">
        <f>IFERROR(__xludf.DUMMYFUNCTION("""COMPUTED_VALUE"""),"Italy")</f>
        <v>Italy</v>
      </c>
      <c r="I262">
        <f>IFERROR(__xludf.DUMMYFUNCTION("""COMPUTED_VALUE"""),1004.0)</f>
        <v>1004</v>
      </c>
      <c r="J262">
        <f>IFERROR(__xludf.DUMMYFUNCTION("""COMPUTED_VALUE"""),6.0)</f>
        <v>6</v>
      </c>
      <c r="K262">
        <f>IFERROR(__xludf.DUMMYFUNCTION("""COMPUTED_VALUE"""),71.0)</f>
        <v>71</v>
      </c>
      <c r="L262" t="str">
        <f>IFERROR(__xludf.DUMMYFUNCTION("""COMPUTED_VALUE"""),"STFMRA55B42F052D")</f>
        <v>STFMRA55B42F052D</v>
      </c>
      <c r="M262">
        <f>IFERROR(__xludf.DUMMYFUNCTION("""COMPUTED_VALUE"""),4.0)</f>
        <v>4</v>
      </c>
      <c r="N262">
        <f>IFERROR(__xludf.DUMMYFUNCTION("""COMPUTED_VALUE"""),42950.0)</f>
        <v>42950</v>
      </c>
      <c r="O262" t="str">
        <f>IFERROR(__xludf.DUMMYFUNCTION("""COMPUTED_VALUE"""),"")</f>
        <v/>
      </c>
    </row>
    <row r="263">
      <c r="A263">
        <f>IFERROR(__xludf.DUMMYFUNCTION("""COMPUTED_VALUE"""),40.6628218)</f>
        <v>40.6628218</v>
      </c>
      <c r="B263">
        <f>IFERROR(__xludf.DUMMYFUNCTION("""COMPUTED_VALUE"""),16.6095359)</f>
        <v>16.6095359</v>
      </c>
      <c r="C263" t="str">
        <f>IFERROR(__xludf.DUMMYFUNCTION("""COMPUTED_VALUE"""),"Casa Vacanza")</f>
        <v>Casa Vacanza</v>
      </c>
      <c r="D263" t="str">
        <f>IFERROR(__xludf.DUMMYFUNCTION("""COMPUTED_VALUE"""),"LA CASETTA DEL VICINATO")</f>
        <v>LA CASETTA DEL VICINATO</v>
      </c>
      <c r="E263" t="str">
        <f>IFERROR(__xludf.DUMMYFUNCTION("""COMPUTED_VALUE"""),"ABATE VITO")</f>
        <v>ABATE VITO</v>
      </c>
      <c r="F263" t="str">
        <f>IFERROR(__xludf.DUMMYFUNCTION("""COMPUTED_VALUE"""),"VIA E. DUNI 24")</f>
        <v>VIA E. DUNI 24</v>
      </c>
      <c r="G263" t="str">
        <f>IFERROR(__xludf.DUMMYFUNCTION("""COMPUTED_VALUE"""),"Matera")</f>
        <v>Matera</v>
      </c>
      <c r="H263" t="str">
        <f>IFERROR(__xludf.DUMMYFUNCTION("""COMPUTED_VALUE"""),"Italy")</f>
        <v>Italy</v>
      </c>
      <c r="I263">
        <f>IFERROR(__xludf.DUMMYFUNCTION("""COMPUTED_VALUE"""),3136.0)</f>
        <v>3136</v>
      </c>
      <c r="J263">
        <f>IFERROR(__xludf.DUMMYFUNCTION("""COMPUTED_VALUE"""),3.0)</f>
        <v>3</v>
      </c>
      <c r="K263">
        <f>IFERROR(__xludf.DUMMYFUNCTION("""COMPUTED_VALUE"""),159.0)</f>
        <v>159</v>
      </c>
      <c r="L263" t="str">
        <f>IFERROR(__xludf.DUMMYFUNCTION("""COMPUTED_VALUE"""),"BTAVTI50B18D909L")</f>
        <v>BTAVTI50B18D909L</v>
      </c>
      <c r="M263">
        <f>IFERROR(__xludf.DUMMYFUNCTION("""COMPUTED_VALUE"""),2.0)</f>
        <v>2</v>
      </c>
      <c r="N263">
        <f>IFERROR(__xludf.DUMMYFUNCTION("""COMPUTED_VALUE"""),42431.0)</f>
        <v>42431</v>
      </c>
      <c r="O263" t="str">
        <f>IFERROR(__xludf.DUMMYFUNCTION("""COMPUTED_VALUE"""),"")</f>
        <v/>
      </c>
    </row>
    <row r="264">
      <c r="A264">
        <f>IFERROR(__xludf.DUMMYFUNCTION("""COMPUTED_VALUE"""),40.6692945487692)</f>
        <v>40.66929455</v>
      </c>
      <c r="B264">
        <f>IFERROR(__xludf.DUMMYFUNCTION("""COMPUTED_VALUE"""),16.6082465803001)</f>
        <v>16.60824658</v>
      </c>
      <c r="C264" t="str">
        <f>IFERROR(__xludf.DUMMYFUNCTION("""COMPUTED_VALUE"""),"Casa Vacanza")</f>
        <v>Casa Vacanza</v>
      </c>
      <c r="D264" t="str">
        <f>IFERROR(__xludf.DUMMYFUNCTION("""COMPUTED_VALUE"""),"LA CASETTA PANORAMICA")</f>
        <v>LA CASETTA PANORAMICA</v>
      </c>
      <c r="E264" t="str">
        <f>IFERROR(__xludf.DUMMYFUNCTION("""COMPUTED_VALUE"""),"MOREA GASPARE")</f>
        <v>MOREA GASPARE</v>
      </c>
      <c r="F264" t="str">
        <f>IFERROR(__xludf.DUMMYFUNCTION("""COMPUTED_VALUE"""),"RECINTO PRIMO PIAVE")</f>
        <v>RECINTO PRIMO PIAVE</v>
      </c>
      <c r="G264" t="str">
        <f>IFERROR(__xludf.DUMMYFUNCTION("""COMPUTED_VALUE"""),"Matera")</f>
        <v>Matera</v>
      </c>
      <c r="H264" t="str">
        <f>IFERROR(__xludf.DUMMYFUNCTION("""COMPUTED_VALUE"""),"Italy")</f>
        <v>Italy</v>
      </c>
      <c r="I264">
        <f>IFERROR(__xludf.DUMMYFUNCTION("""COMPUTED_VALUE"""),3560.0)</f>
        <v>3560</v>
      </c>
      <c r="J264">
        <f>IFERROR(__xludf.DUMMYFUNCTION("""COMPUTED_VALUE"""),18.0)</f>
        <v>18</v>
      </c>
      <c r="K264">
        <f>IFERROR(__xludf.DUMMYFUNCTION("""COMPUTED_VALUE"""),159.0)</f>
        <v>159</v>
      </c>
      <c r="L264" t="str">
        <f>IFERROR(__xludf.DUMMYFUNCTION("""COMPUTED_VALUE"""),"MROGPR80S07L418E")</f>
        <v>MROGPR80S07L418E</v>
      </c>
      <c r="M264">
        <f>IFERROR(__xludf.DUMMYFUNCTION("""COMPUTED_VALUE"""),2.0)</f>
        <v>2</v>
      </c>
      <c r="N264">
        <f>IFERROR(__xludf.DUMMYFUNCTION("""COMPUTED_VALUE"""),43451.0)</f>
        <v>43451</v>
      </c>
      <c r="O264" t="str">
        <f>IFERROR(__xludf.DUMMYFUNCTION("""COMPUTED_VALUE"""),"")</f>
        <v/>
      </c>
    </row>
    <row r="265">
      <c r="A265">
        <f>IFERROR(__xludf.DUMMYFUNCTION("""COMPUTED_VALUE"""),40.6745547)</f>
        <v>40.6745547</v>
      </c>
      <c r="B265">
        <f>IFERROR(__xludf.DUMMYFUNCTION("""COMPUTED_VALUE"""),16.6062277)</f>
        <v>16.6062277</v>
      </c>
      <c r="C265" t="str">
        <f>IFERROR(__xludf.DUMMYFUNCTION("""COMPUTED_VALUE"""),"Casa Vacanza")</f>
        <v>Casa Vacanza</v>
      </c>
      <c r="D265" t="str">
        <f>IFERROR(__xludf.DUMMYFUNCTION("""COMPUTED_VALUE"""),"LA CASETTINA NEI SASSI")</f>
        <v>LA CASETTINA NEI SASSI</v>
      </c>
      <c r="E265" t="str">
        <f>IFERROR(__xludf.DUMMYFUNCTION("""COMPUTED_VALUE"""),"CONTINISIO BRUNO")</f>
        <v>CONTINISIO BRUNO</v>
      </c>
      <c r="F265" t="str">
        <f>IFERROR(__xludf.DUMMYFUNCTION("""COMPUTED_VALUE"""),"VIA CERERIE 7")</f>
        <v>VIA CERERIE 7</v>
      </c>
      <c r="G265" t="str">
        <f>IFERROR(__xludf.DUMMYFUNCTION("""COMPUTED_VALUE"""),"Matera")</f>
        <v>Matera</v>
      </c>
      <c r="H265" t="str">
        <f>IFERROR(__xludf.DUMMYFUNCTION("""COMPUTED_VALUE"""),"Italy")</f>
        <v>Italy</v>
      </c>
      <c r="I265">
        <f>IFERROR(__xludf.DUMMYFUNCTION("""COMPUTED_VALUE"""),3625.0)</f>
        <v>3625</v>
      </c>
      <c r="J265">
        <f>IFERROR(__xludf.DUMMYFUNCTION("""COMPUTED_VALUE"""),2.0)</f>
        <v>2</v>
      </c>
      <c r="K265">
        <f>IFERROR(__xludf.DUMMYFUNCTION("""COMPUTED_VALUE"""),159.0)</f>
        <v>159</v>
      </c>
      <c r="L265" t="str">
        <f>IFERROR(__xludf.DUMMYFUNCTION("""COMPUTED_VALUE"""),"CNTBRN84S15F052P")</f>
        <v>CNTBRN84S15F052P</v>
      </c>
      <c r="M265">
        <f>IFERROR(__xludf.DUMMYFUNCTION("""COMPUTED_VALUE"""),4.0)</f>
        <v>4</v>
      </c>
      <c r="N265">
        <f>IFERROR(__xludf.DUMMYFUNCTION("""COMPUTED_VALUE"""),42848.0)</f>
        <v>42848</v>
      </c>
      <c r="O265">
        <f>IFERROR(__xludf.DUMMYFUNCTION("""COMPUTED_VALUE"""),1943.0)</f>
        <v>1943</v>
      </c>
    </row>
    <row r="266">
      <c r="A266">
        <f>IFERROR(__xludf.DUMMYFUNCTION("""COMPUTED_VALUE"""),40.6642600920116)</f>
        <v>40.66426009</v>
      </c>
      <c r="B266">
        <f>IFERROR(__xludf.DUMMYFUNCTION("""COMPUTED_VALUE"""),16.6097113751511)</f>
        <v>16.60971138</v>
      </c>
      <c r="C266" t="str">
        <f>IFERROR(__xludf.DUMMYFUNCTION("""COMPUTED_VALUE"""),"Casa Vacanza")</f>
        <v>Casa Vacanza</v>
      </c>
      <c r="D266" t="str">
        <f>IFERROR(__xludf.DUMMYFUNCTION("""COMPUTED_VALUE"""),"LA CATAPECCHIA NEI SASSI")</f>
        <v>LA CATAPECCHIA NEI SASSI</v>
      </c>
      <c r="E266" t="str">
        <f>IFERROR(__xludf.DUMMYFUNCTION("""COMPUTED_VALUE"""),"CAPPIELLO FEDELE")</f>
        <v>CAPPIELLO FEDELE</v>
      </c>
      <c r="F266" t="str">
        <f>IFERROR(__xludf.DUMMYFUNCTION("""COMPUTED_VALUE"""),"VIA SAN PIETRO CAVEOSO 99-VIA SAN BARTOLOMEO 3")</f>
        <v>VIA SAN PIETRO CAVEOSO 99-VIA SAN BARTOLOMEO 3</v>
      </c>
      <c r="G266" t="str">
        <f>IFERROR(__xludf.DUMMYFUNCTION("""COMPUTED_VALUE"""),"Matera")</f>
        <v>Matera</v>
      </c>
      <c r="H266" t="str">
        <f>IFERROR(__xludf.DUMMYFUNCTION("""COMPUTED_VALUE"""),"Italy")</f>
        <v>Italy</v>
      </c>
      <c r="I266">
        <f>IFERROR(__xludf.DUMMYFUNCTION("""COMPUTED_VALUE"""),1878.0)</f>
        <v>1878</v>
      </c>
      <c r="J266">
        <f>IFERROR(__xludf.DUMMYFUNCTION("""COMPUTED_VALUE"""),6.0)</f>
        <v>6</v>
      </c>
      <c r="K266">
        <f>IFERROR(__xludf.DUMMYFUNCTION("""COMPUTED_VALUE"""),159.0)</f>
        <v>159</v>
      </c>
      <c r="L266" t="str">
        <f>IFERROR(__xludf.DUMMYFUNCTION("""COMPUTED_VALUE"""),"CPPFDL68L27F052E")</f>
        <v>CPPFDL68L27F052E</v>
      </c>
      <c r="M266">
        <f>IFERROR(__xludf.DUMMYFUNCTION("""COMPUTED_VALUE"""),4.0)</f>
        <v>4</v>
      </c>
      <c r="N266">
        <f>IFERROR(__xludf.DUMMYFUNCTION("""COMPUTED_VALUE"""),42531.0)</f>
        <v>42531</v>
      </c>
      <c r="O266" t="str">
        <f>IFERROR(__xludf.DUMMYFUNCTION("""COMPUTED_VALUE"""),"")</f>
        <v/>
      </c>
    </row>
    <row r="267">
      <c r="A267">
        <f>IFERROR(__xludf.DUMMYFUNCTION("""COMPUTED_VALUE"""),40.6605463)</f>
        <v>40.6605463</v>
      </c>
      <c r="B267">
        <f>IFERROR(__xludf.DUMMYFUNCTION("""COMPUTED_VALUE"""),16.6133354)</f>
        <v>16.6133354</v>
      </c>
      <c r="C267" t="str">
        <f>IFERROR(__xludf.DUMMYFUNCTION("""COMPUTED_VALUE"""),"Casa Vacanza")</f>
        <v>Casa Vacanza</v>
      </c>
      <c r="D267" t="str">
        <f>IFERROR(__xludf.DUMMYFUNCTION("""COMPUTED_VALUE"""),"LA CHIESETTA")</f>
        <v>LA CHIESETTA</v>
      </c>
      <c r="E267" t="str">
        <f>IFERROR(__xludf.DUMMYFUNCTION("""COMPUTED_VALUE"""),"PLASMATI SERENA")</f>
        <v>PLASMATI SERENA</v>
      </c>
      <c r="F267" t="str">
        <f>IFERROR(__xludf.DUMMYFUNCTION("""COMPUTED_VALUE"""),"VIA CASALNUOVO 267 INT.2")</f>
        <v>VIA CASALNUOVO 267 INT.2</v>
      </c>
      <c r="G267" t="str">
        <f>IFERROR(__xludf.DUMMYFUNCTION("""COMPUTED_VALUE"""),"Matera")</f>
        <v>Matera</v>
      </c>
      <c r="H267" t="str">
        <f>IFERROR(__xludf.DUMMYFUNCTION("""COMPUTED_VALUE"""),"Italy")</f>
        <v>Italy</v>
      </c>
      <c r="I267">
        <f>IFERROR(__xludf.DUMMYFUNCTION("""COMPUTED_VALUE"""),62.0)</f>
        <v>62</v>
      </c>
      <c r="J267">
        <f>IFERROR(__xludf.DUMMYFUNCTION("""COMPUTED_VALUE"""),1.0)</f>
        <v>1</v>
      </c>
      <c r="K267">
        <f>IFERROR(__xludf.DUMMYFUNCTION("""COMPUTED_VALUE"""),105.0)</f>
        <v>105</v>
      </c>
      <c r="L267" t="str">
        <f>IFERROR(__xludf.DUMMYFUNCTION("""COMPUTED_VALUE"""),"PLSSRN92C65A048G")</f>
        <v>PLSSRN92C65A048G</v>
      </c>
      <c r="M267">
        <f>IFERROR(__xludf.DUMMYFUNCTION("""COMPUTED_VALUE"""),2.0)</f>
        <v>2</v>
      </c>
      <c r="N267">
        <f>IFERROR(__xludf.DUMMYFUNCTION("""COMPUTED_VALUE"""),42947.0)</f>
        <v>42947</v>
      </c>
      <c r="O267" t="str">
        <f>IFERROR(__xludf.DUMMYFUNCTION("""COMPUTED_VALUE"""),"")</f>
        <v/>
      </c>
    </row>
    <row r="268">
      <c r="A268">
        <f>IFERROR(__xludf.DUMMYFUNCTION("""COMPUTED_VALUE"""),40.6701958861078)</f>
        <v>40.67019589</v>
      </c>
      <c r="B268">
        <f>IFERROR(__xludf.DUMMYFUNCTION("""COMPUTED_VALUE"""),16.607502232629)</f>
        <v>16.60750223</v>
      </c>
      <c r="C268" t="str">
        <f>IFERROR(__xludf.DUMMYFUNCTION("""COMPUTED_VALUE"""),"Casa Vacanza")</f>
        <v>Casa Vacanza</v>
      </c>
      <c r="D268" t="str">
        <f>IFERROR(__xludf.DUMMYFUNCTION("""COMPUTED_VALUE"""),"LA CHIOCCIOLA SUI SASSI")</f>
        <v>LA CHIOCCIOLA SUI SASSI</v>
      </c>
      <c r="E268" t="str">
        <f>IFERROR(__xludf.DUMMYFUNCTION("""COMPUTED_VALUE"""),"DI CUIA ANGELO GABRIELE")</f>
        <v>DI CUIA ANGELO GABRIELE</v>
      </c>
      <c r="F268" t="str">
        <f>IFERROR(__xludf.DUMMYFUNCTION("""COMPUTED_VALUE"""),"vico f.p.festa 3 e via f.p.festa 8")</f>
        <v>vico f.p.festa 3 e via f.p.festa 8</v>
      </c>
      <c r="G268" t="str">
        <f>IFERROR(__xludf.DUMMYFUNCTION("""COMPUTED_VALUE"""),"Matera")</f>
        <v>Matera</v>
      </c>
      <c r="H268" t="str">
        <f>IFERROR(__xludf.DUMMYFUNCTION("""COMPUTED_VALUE"""),"Italy")</f>
        <v>Italy</v>
      </c>
      <c r="I268">
        <f>IFERROR(__xludf.DUMMYFUNCTION("""COMPUTED_VALUE"""),3598.0)</f>
        <v>3598</v>
      </c>
      <c r="J268">
        <f>IFERROR(__xludf.DUMMYFUNCTION("""COMPUTED_VALUE"""),19.0)</f>
        <v>19</v>
      </c>
      <c r="K268">
        <f>IFERROR(__xludf.DUMMYFUNCTION("""COMPUTED_VALUE"""),159.0)</f>
        <v>159</v>
      </c>
      <c r="L268" t="str">
        <f>IFERROR(__xludf.DUMMYFUNCTION("""COMPUTED_VALUE"""),"DCINLG68C18F052L")</f>
        <v>DCINLG68C18F052L</v>
      </c>
      <c r="M268">
        <f>IFERROR(__xludf.DUMMYFUNCTION("""COMPUTED_VALUE"""),8.0)</f>
        <v>8</v>
      </c>
      <c r="N268">
        <f>IFERROR(__xludf.DUMMYFUNCTION("""COMPUTED_VALUE"""),42794.0)</f>
        <v>42794</v>
      </c>
      <c r="O268" t="str">
        <f>IFERROR(__xludf.DUMMYFUNCTION("""COMPUTED_VALUE"""),"")</f>
        <v/>
      </c>
    </row>
    <row r="269">
      <c r="A269">
        <f>IFERROR(__xludf.DUMMYFUNCTION("""COMPUTED_VALUE"""),40.6929424289859)</f>
        <v>40.69294243</v>
      </c>
      <c r="B269">
        <f>IFERROR(__xludf.DUMMYFUNCTION("""COMPUTED_VALUE"""),16.579840288455)</f>
        <v>16.57984029</v>
      </c>
      <c r="C269" t="str">
        <f>IFERROR(__xludf.DUMMYFUNCTION("""COMPUTED_VALUE"""),"Casa Vacanza")</f>
        <v>Casa Vacanza</v>
      </c>
      <c r="D269" t="str">
        <f>IFERROR(__xludf.DUMMYFUNCTION("""COMPUTED_VALUE"""),"LA COLLINA INCANTATA")</f>
        <v>LA COLLINA INCANTATA</v>
      </c>
      <c r="E269" t="str">
        <f>IFERROR(__xludf.DUMMYFUNCTION("""COMPUTED_VALUE"""),"FEDERICO ASSUNTA")</f>
        <v>FEDERICO ASSUNTA</v>
      </c>
      <c r="F269" t="str">
        <f>IFERROR(__xludf.DUMMYFUNCTION("""COMPUTED_VALUE"""),"CONTRADA SERRA RIFUSA snc.")</f>
        <v>CONTRADA SERRA RIFUSA snc.</v>
      </c>
      <c r="G269" t="str">
        <f>IFERROR(__xludf.DUMMYFUNCTION("""COMPUTED_VALUE"""),"Matera")</f>
        <v>Matera</v>
      </c>
      <c r="H269" t="str">
        <f>IFERROR(__xludf.DUMMYFUNCTION("""COMPUTED_VALUE"""),"Italy")</f>
        <v>Italy</v>
      </c>
      <c r="I269">
        <f>IFERROR(__xludf.DUMMYFUNCTION("""COMPUTED_VALUE"""),468.0)</f>
        <v>468</v>
      </c>
      <c r="J269">
        <f>IFERROR(__xludf.DUMMYFUNCTION("""COMPUTED_VALUE"""),3.0)</f>
        <v>3</v>
      </c>
      <c r="K269">
        <f>IFERROR(__xludf.DUMMYFUNCTION("""COMPUTED_VALUE"""),28.0)</f>
        <v>28</v>
      </c>
      <c r="L269" t="str">
        <f>IFERROR(__xludf.DUMMYFUNCTION("""COMPUTED_VALUE"""),"FDRSNT73D70F052C")</f>
        <v>FDRSNT73D70F052C</v>
      </c>
      <c r="M269">
        <f>IFERROR(__xludf.DUMMYFUNCTION("""COMPUTED_VALUE"""),6.0)</f>
        <v>6</v>
      </c>
      <c r="N269">
        <f>IFERROR(__xludf.DUMMYFUNCTION("""COMPUTED_VALUE"""),42389.0)</f>
        <v>42389</v>
      </c>
      <c r="O269" t="str">
        <f>IFERROR(__xludf.DUMMYFUNCTION("""COMPUTED_VALUE"""),"")</f>
        <v/>
      </c>
    </row>
    <row r="270">
      <c r="A270">
        <f>IFERROR(__xludf.DUMMYFUNCTION("""COMPUTED_VALUE"""),40.697918)</f>
        <v>40.697918</v>
      </c>
      <c r="B270">
        <f>IFERROR(__xludf.DUMMYFUNCTION("""COMPUTED_VALUE"""),16.58215)</f>
        <v>16.58215</v>
      </c>
      <c r="C270" t="str">
        <f>IFERROR(__xludf.DUMMYFUNCTION("""COMPUTED_VALUE"""),"Casa Vacanza")</f>
        <v>Casa Vacanza</v>
      </c>
      <c r="D270" t="str">
        <f>IFERROR(__xludf.DUMMYFUNCTION("""COMPUTED_VALUE"""),"LA COLLINETTA DEI SASSI")</f>
        <v>LA COLLINETTA DEI SASSI</v>
      </c>
      <c r="E270" t="str">
        <f>IFERROR(__xludf.DUMMYFUNCTION("""COMPUTED_VALUE"""),"LIONETTI FRANCESCO P.")</f>
        <v>LIONETTI FRANCESCO P.</v>
      </c>
      <c r="F270" t="str">
        <f>IFERROR(__xludf.DUMMYFUNCTION("""COMPUTED_VALUE"""),"C.DA SERRA PADUCCI snc")</f>
        <v>C.DA SERRA PADUCCI snc</v>
      </c>
      <c r="G270" t="str">
        <f>IFERROR(__xludf.DUMMYFUNCTION("""COMPUTED_VALUE"""),"Matera")</f>
        <v>Matera</v>
      </c>
      <c r="H270" t="str">
        <f>IFERROR(__xludf.DUMMYFUNCTION("""COMPUTED_VALUE"""),"Italy")</f>
        <v>Italy</v>
      </c>
      <c r="I270">
        <f>IFERROR(__xludf.DUMMYFUNCTION("""COMPUTED_VALUE"""),481.0)</f>
        <v>481</v>
      </c>
      <c r="J270">
        <f>IFERROR(__xludf.DUMMYFUNCTION("""COMPUTED_VALUE"""),2.0)</f>
        <v>2</v>
      </c>
      <c r="K270">
        <f>IFERROR(__xludf.DUMMYFUNCTION("""COMPUTED_VALUE"""),30.0)</f>
        <v>30</v>
      </c>
      <c r="L270" t="str">
        <f>IFERROR(__xludf.DUMMYFUNCTION("""COMPUTED_VALUE"""),"LNTFNC52T04F052I")</f>
        <v>LNTFNC52T04F052I</v>
      </c>
      <c r="M270">
        <f>IFERROR(__xludf.DUMMYFUNCTION("""COMPUTED_VALUE"""),4.0)</f>
        <v>4</v>
      </c>
      <c r="N270">
        <f>IFERROR(__xludf.DUMMYFUNCTION("""COMPUTED_VALUE"""),42720.0)</f>
        <v>42720</v>
      </c>
      <c r="O270" t="str">
        <f>IFERROR(__xludf.DUMMYFUNCTION("""COMPUTED_VALUE"""),"")</f>
        <v/>
      </c>
    </row>
    <row r="271">
      <c r="A271">
        <f>IFERROR(__xludf.DUMMYFUNCTION("""COMPUTED_VALUE"""),40.665936555292)</f>
        <v>40.66593656</v>
      </c>
      <c r="B271">
        <f>IFERROR(__xludf.DUMMYFUNCTION("""COMPUTED_VALUE"""),16.6097505795765)</f>
        <v>16.60975058</v>
      </c>
      <c r="C271" t="str">
        <f>IFERROR(__xludf.DUMMYFUNCTION("""COMPUTED_VALUE"""),"Casa Vacanza")</f>
        <v>Casa Vacanza</v>
      </c>
      <c r="D271" t="str">
        <f>IFERROR(__xludf.DUMMYFUNCTION("""COMPUTED_VALUE"""),"LA CONCHIGLIA NEI SASSI")</f>
        <v>LA CONCHIGLIA NEI SASSI</v>
      </c>
      <c r="E271" t="str">
        <f>IFERROR(__xludf.DUMMYFUNCTION("""COMPUTED_VALUE"""),"MARISA PAOLICELLI")</f>
        <v>MARISA PAOLICELLI</v>
      </c>
      <c r="F271" t="str">
        <f>IFERROR(__xludf.DUMMYFUNCTION("""COMPUTED_VALUE"""),"GRADONI SANT ANTONIO ABATE 4")</f>
        <v>GRADONI SANT ANTONIO ABATE 4</v>
      </c>
      <c r="G271" t="str">
        <f>IFERROR(__xludf.DUMMYFUNCTION("""COMPUTED_VALUE"""),"Matera")</f>
        <v>Matera</v>
      </c>
      <c r="H271" t="str">
        <f>IFERROR(__xludf.DUMMYFUNCTION("""COMPUTED_VALUE"""),"Italy")</f>
        <v>Italy</v>
      </c>
      <c r="I271">
        <f>IFERROR(__xludf.DUMMYFUNCTION("""COMPUTED_VALUE"""),754.0)</f>
        <v>754</v>
      </c>
      <c r="J271">
        <f>IFERROR(__xludf.DUMMYFUNCTION("""COMPUTED_VALUE"""),9.0)</f>
        <v>9</v>
      </c>
      <c r="K271">
        <f>IFERROR(__xludf.DUMMYFUNCTION("""COMPUTED_VALUE"""),159.0)</f>
        <v>159</v>
      </c>
      <c r="L271" t="str">
        <f>IFERROR(__xludf.DUMMYFUNCTION("""COMPUTED_VALUE"""),"PLCMRS85P56F052Q")</f>
        <v>PLCMRS85P56F052Q</v>
      </c>
      <c r="M271">
        <f>IFERROR(__xludf.DUMMYFUNCTION("""COMPUTED_VALUE"""),2.0)</f>
        <v>2</v>
      </c>
      <c r="N271">
        <f>IFERROR(__xludf.DUMMYFUNCTION("""COMPUTED_VALUE"""),41970.0)</f>
        <v>41970</v>
      </c>
      <c r="O271" t="str">
        <f>IFERROR(__xludf.DUMMYFUNCTION("""COMPUTED_VALUE"""),"")</f>
        <v/>
      </c>
    </row>
    <row r="272">
      <c r="A272">
        <f>IFERROR(__xludf.DUMMYFUNCTION("""COMPUTED_VALUE"""),40.6698234606523)</f>
        <v>40.66982346</v>
      </c>
      <c r="B272">
        <f>IFERROR(__xludf.DUMMYFUNCTION("""COMPUTED_VALUE"""),16.6095496554997)</f>
        <v>16.60954966</v>
      </c>
      <c r="C272" t="str">
        <f>IFERROR(__xludf.DUMMYFUNCTION("""COMPUTED_VALUE"""),"Casa Vacanza")</f>
        <v>Casa Vacanza</v>
      </c>
      <c r="D272" t="str">
        <f>IFERROR(__xludf.DUMMYFUNCTION("""COMPUTED_VALUE"""),"LA CORTE DEGLI AGOSTINIANI 40")</f>
        <v>LA CORTE DEGLI AGOSTINIANI 40</v>
      </c>
      <c r="E272" t="str">
        <f>IFERROR(__xludf.DUMMYFUNCTION("""COMPUTED_VALUE"""),"MILENA L'ANNUNZIATA")</f>
        <v>MILENA L'ANNUNZIATA</v>
      </c>
      <c r="F272" t="str">
        <f>IFERROR(__xludf.DUMMYFUNCTION("""COMPUTED_VALUE"""),"RECINTO SAN BIAGIO 7")</f>
        <v>RECINTO SAN BIAGIO 7</v>
      </c>
      <c r="G272" t="str">
        <f>IFERROR(__xludf.DUMMYFUNCTION("""COMPUTED_VALUE"""),"Matera")</f>
        <v>Matera</v>
      </c>
      <c r="H272" t="str">
        <f>IFERROR(__xludf.DUMMYFUNCTION("""COMPUTED_VALUE"""),"Italy")</f>
        <v>Italy</v>
      </c>
      <c r="I272">
        <f>IFERROR(__xludf.DUMMYFUNCTION("""COMPUTED_VALUE"""),72.0)</f>
        <v>72</v>
      </c>
      <c r="J272">
        <f>IFERROR(__xludf.DUMMYFUNCTION("""COMPUTED_VALUE"""),6.0)</f>
        <v>6</v>
      </c>
      <c r="K272">
        <f>IFERROR(__xludf.DUMMYFUNCTION("""COMPUTED_VALUE"""),159.0)</f>
        <v>159</v>
      </c>
      <c r="L272" t="str">
        <f>IFERROR(__xludf.DUMMYFUNCTION("""COMPUTED_VALUE"""),"LNNMLN72T50F052R")</f>
        <v>LNNMLN72T50F052R</v>
      </c>
      <c r="M272" t="str">
        <f>IFERROR(__xludf.DUMMYFUNCTION("""COMPUTED_VALUE"""),"")</f>
        <v/>
      </c>
      <c r="N272">
        <f>IFERROR(__xludf.DUMMYFUNCTION("""COMPUTED_VALUE"""),42121.0)</f>
        <v>42121</v>
      </c>
      <c r="O272" t="str">
        <f>IFERROR(__xludf.DUMMYFUNCTION("""COMPUTED_VALUE"""),"")</f>
        <v/>
      </c>
    </row>
    <row r="273">
      <c r="A273">
        <f>IFERROR(__xludf.DUMMYFUNCTION("""COMPUTED_VALUE"""),40.6632931762052)</f>
        <v>40.66329318</v>
      </c>
      <c r="B273">
        <f>IFERROR(__xludf.DUMMYFUNCTION("""COMPUTED_VALUE"""),16.6111273627133)</f>
        <v>16.61112736</v>
      </c>
      <c r="C273" t="str">
        <f>IFERROR(__xludf.DUMMYFUNCTION("""COMPUTED_VALUE"""),"Casa Vacanza")</f>
        <v>Casa Vacanza</v>
      </c>
      <c r="D273" t="str">
        <f>IFERROR(__xludf.DUMMYFUNCTION("""COMPUTED_VALUE"""),"LA CORTE DEI CAVALIERI")</f>
        <v>LA CORTE DEI CAVALIERI</v>
      </c>
      <c r="E273" t="str">
        <f>IFERROR(__xludf.DUMMYFUNCTION("""COMPUTED_VALUE"""),"MARIA GRAZIA D'ALESSANDRO")</f>
        <v>MARIA GRAZIA D'ALESSANDRO</v>
      </c>
      <c r="F273" t="str">
        <f>IFERROR(__xludf.DUMMYFUNCTION("""COMPUTED_VALUE"""),"VICO MANNESE  8-10 PIANO TERRA")</f>
        <v>VICO MANNESE  8-10 PIANO TERRA</v>
      </c>
      <c r="G273" t="str">
        <f>IFERROR(__xludf.DUMMYFUNCTION("""COMPUTED_VALUE"""),"Matera")</f>
        <v>Matera</v>
      </c>
      <c r="H273" t="str">
        <f>IFERROR(__xludf.DUMMYFUNCTION("""COMPUTED_VALUE"""),"Italy")</f>
        <v>Italy</v>
      </c>
      <c r="I273">
        <f>IFERROR(__xludf.DUMMYFUNCTION("""COMPUTED_VALUE"""),2042.0)</f>
        <v>2042</v>
      </c>
      <c r="J273">
        <f>IFERROR(__xludf.DUMMYFUNCTION("""COMPUTED_VALUE"""),15.0)</f>
        <v>15</v>
      </c>
      <c r="K273">
        <f>IFERROR(__xludf.DUMMYFUNCTION("""COMPUTED_VALUE"""),159.0)</f>
        <v>159</v>
      </c>
      <c r="L273" t="str">
        <f>IFERROR(__xludf.DUMMYFUNCTION("""COMPUTED_VALUE"""),"DLSMGHR60M62F052E")</f>
        <v>DLSMGHR60M62F052E</v>
      </c>
      <c r="M273">
        <f>IFERROR(__xludf.DUMMYFUNCTION("""COMPUTED_VALUE"""),4.0)</f>
        <v>4</v>
      </c>
      <c r="N273">
        <f>IFERROR(__xludf.DUMMYFUNCTION("""COMPUTED_VALUE"""),42527.0)</f>
        <v>42527</v>
      </c>
      <c r="O273" t="str">
        <f>IFERROR(__xludf.DUMMYFUNCTION("""COMPUTED_VALUE"""),"")</f>
        <v/>
      </c>
    </row>
    <row r="274">
      <c r="A274">
        <f>IFERROR(__xludf.DUMMYFUNCTION("""COMPUTED_VALUE"""),40.6632931762052)</f>
        <v>40.66329318</v>
      </c>
      <c r="B274">
        <f>IFERROR(__xludf.DUMMYFUNCTION("""COMPUTED_VALUE"""),16.6111273627133)</f>
        <v>16.61112736</v>
      </c>
      <c r="C274" t="str">
        <f>IFERROR(__xludf.DUMMYFUNCTION("""COMPUTED_VALUE"""),"Casa Vacanza")</f>
        <v>Casa Vacanza</v>
      </c>
      <c r="D274" t="str">
        <f>IFERROR(__xludf.DUMMYFUNCTION("""COMPUTED_VALUE"""),"LA CORTE DEI CAVALIERI")</f>
        <v>LA CORTE DEI CAVALIERI</v>
      </c>
      <c r="E274" t="str">
        <f>IFERROR(__xludf.DUMMYFUNCTION("""COMPUTED_VALUE"""),"D'ALESSANDRO MARIA GRAZIA")</f>
        <v>D'ALESSANDRO MARIA GRAZIA</v>
      </c>
      <c r="F274" t="str">
        <f>IFERROR(__xludf.DUMMYFUNCTION("""COMPUTED_VALUE"""),"VICO MANNESE 8")</f>
        <v>VICO MANNESE 8</v>
      </c>
      <c r="G274" t="str">
        <f>IFERROR(__xludf.DUMMYFUNCTION("""COMPUTED_VALUE"""),"Matera")</f>
        <v>Matera</v>
      </c>
      <c r="H274" t="str">
        <f>IFERROR(__xludf.DUMMYFUNCTION("""COMPUTED_VALUE"""),"Italy")</f>
        <v>Italy</v>
      </c>
      <c r="I274">
        <f>IFERROR(__xludf.DUMMYFUNCTION("""COMPUTED_VALUE"""),2042.0)</f>
        <v>2042</v>
      </c>
      <c r="J274">
        <f>IFERROR(__xludf.DUMMYFUNCTION("""COMPUTED_VALUE"""),14.0)</f>
        <v>14</v>
      </c>
      <c r="K274">
        <f>IFERROR(__xludf.DUMMYFUNCTION("""COMPUTED_VALUE"""),159.0)</f>
        <v>159</v>
      </c>
      <c r="L274" t="str">
        <f>IFERROR(__xludf.DUMMYFUNCTION("""COMPUTED_VALUE"""),"DLSMGR60M62F052E")</f>
        <v>DLSMGR60M62F052E</v>
      </c>
      <c r="M274" t="str">
        <f>IFERROR(__xludf.DUMMYFUNCTION("""COMPUTED_VALUE"""),"")</f>
        <v/>
      </c>
      <c r="N274" t="str">
        <f>IFERROR(__xludf.DUMMYFUNCTION("""COMPUTED_VALUE"""),"")</f>
        <v/>
      </c>
      <c r="O274" t="str">
        <f>IFERROR(__xludf.DUMMYFUNCTION("""COMPUTED_VALUE"""),"")</f>
        <v/>
      </c>
    </row>
    <row r="275">
      <c r="A275">
        <f>IFERROR(__xludf.DUMMYFUNCTION("""COMPUTED_VALUE"""),40.6725999264149)</f>
        <v>40.67259993</v>
      </c>
      <c r="B275">
        <f>IFERROR(__xludf.DUMMYFUNCTION("""COMPUTED_VALUE"""),16.6002165808976)</f>
        <v>16.60021658</v>
      </c>
      <c r="C275" t="str">
        <f>IFERROR(__xludf.DUMMYFUNCTION("""COMPUTED_VALUE"""),"Casa Vacanza")</f>
        <v>Casa Vacanza</v>
      </c>
      <c r="D275" t="str">
        <f>IFERROR(__xludf.DUMMYFUNCTION("""COMPUTED_VALUE"""),"LA DIMORA DEGLI OLEANDRI")</f>
        <v>LA DIMORA DEGLI OLEANDRI</v>
      </c>
      <c r="E275" t="str">
        <f>IFERROR(__xludf.DUMMYFUNCTION("""COMPUTED_VALUE"""),"SCHIUMA M. EMANUELLA")</f>
        <v>SCHIUMA M. EMANUELLA</v>
      </c>
      <c r="F275" t="str">
        <f>IFERROR(__xludf.DUMMYFUNCTION("""COMPUTED_VALUE"""),"VIA LA CROCE 9B")</f>
        <v>VIA LA CROCE 9B</v>
      </c>
      <c r="G275" t="str">
        <f>IFERROR(__xludf.DUMMYFUNCTION("""COMPUTED_VALUE"""),"Matera")</f>
        <v>Matera</v>
      </c>
      <c r="H275" t="str">
        <f>IFERROR(__xludf.DUMMYFUNCTION("""COMPUTED_VALUE"""),"Italy")</f>
        <v>Italy</v>
      </c>
      <c r="I275">
        <f>IFERROR(__xludf.DUMMYFUNCTION("""COMPUTED_VALUE"""),787.0)</f>
        <v>787</v>
      </c>
      <c r="J275">
        <f>IFERROR(__xludf.DUMMYFUNCTION("""COMPUTED_VALUE"""),33.0)</f>
        <v>33</v>
      </c>
      <c r="K275">
        <f>IFERROR(__xludf.DUMMYFUNCTION("""COMPUTED_VALUE"""),71.0)</f>
        <v>71</v>
      </c>
      <c r="L275" t="str">
        <f>IFERROR(__xludf.DUMMYFUNCTION("""COMPUTED_VALUE"""),"SCHMMN57T50F052A")</f>
        <v>SCHMMN57T50F052A</v>
      </c>
      <c r="M275">
        <f>IFERROR(__xludf.DUMMYFUNCTION("""COMPUTED_VALUE"""),4.0)</f>
        <v>4</v>
      </c>
      <c r="N275">
        <f>IFERROR(__xludf.DUMMYFUNCTION("""COMPUTED_VALUE"""),42200.0)</f>
        <v>42200</v>
      </c>
      <c r="O275" t="str">
        <f>IFERROR(__xludf.DUMMYFUNCTION("""COMPUTED_VALUE"""),"")</f>
        <v/>
      </c>
    </row>
    <row r="276">
      <c r="A276">
        <f>IFERROR(__xludf.DUMMYFUNCTION("""COMPUTED_VALUE"""),40.6598632)</f>
        <v>40.6598632</v>
      </c>
      <c r="B276">
        <f>IFERROR(__xludf.DUMMYFUNCTION("""COMPUTED_VALUE"""),16.6113626)</f>
        <v>16.6113626</v>
      </c>
      <c r="C276" t="str">
        <f>IFERROR(__xludf.DUMMYFUNCTION("""COMPUTED_VALUE"""),"Casa Vacanza")</f>
        <v>Casa Vacanza</v>
      </c>
      <c r="D276" t="str">
        <f>IFERROR(__xludf.DUMMYFUNCTION("""COMPUTED_VALUE"""),"LA DIMORA DEL FORTUNATO")</f>
        <v>LA DIMORA DEL FORTUNATO</v>
      </c>
      <c r="E276" t="str">
        <f>IFERROR(__xludf.DUMMYFUNCTION("""COMPUTED_VALUE"""),"ANNUNZIATA LASALA")</f>
        <v>ANNUNZIATA LASALA</v>
      </c>
      <c r="F276" t="str">
        <f>IFERROR(__xludf.DUMMYFUNCTION("""COMPUTED_VALUE"""),"VIA GIUSTINO FORTUNATO 2")</f>
        <v>VIA GIUSTINO FORTUNATO 2</v>
      </c>
      <c r="G276" t="str">
        <f>IFERROR(__xludf.DUMMYFUNCTION("""COMPUTED_VALUE"""),"Matera")</f>
        <v>Matera</v>
      </c>
      <c r="H276" t="str">
        <f>IFERROR(__xludf.DUMMYFUNCTION("""COMPUTED_VALUE"""),"Italy")</f>
        <v>Italy</v>
      </c>
      <c r="I276">
        <f>IFERROR(__xludf.DUMMYFUNCTION("""COMPUTED_VALUE"""),220.0)</f>
        <v>220</v>
      </c>
      <c r="J276">
        <f>IFERROR(__xludf.DUMMYFUNCTION("""COMPUTED_VALUE"""),13.0)</f>
        <v>13</v>
      </c>
      <c r="K276">
        <f>IFERROR(__xludf.DUMMYFUNCTION("""COMPUTED_VALUE"""),103.0)</f>
        <v>103</v>
      </c>
      <c r="L276" t="str">
        <f>IFERROR(__xludf.DUMMYFUNCTION("""COMPUTED_VALUE"""),"LSLNNZ69D41F052F")</f>
        <v>LSLNNZ69D41F052F</v>
      </c>
      <c r="M276">
        <f>IFERROR(__xludf.DUMMYFUNCTION("""COMPUTED_VALUE"""),4.0)</f>
        <v>4</v>
      </c>
      <c r="N276">
        <f>IFERROR(__xludf.DUMMYFUNCTION("""COMPUTED_VALUE"""),42676.0)</f>
        <v>42676</v>
      </c>
      <c r="O276">
        <f>IFERROR(__xludf.DUMMYFUNCTION("""COMPUTED_VALUE"""),1928.0)</f>
        <v>1928</v>
      </c>
    </row>
    <row r="277">
      <c r="A277" t="str">
        <f>IFERROR(__xludf.DUMMYFUNCTION("""COMPUTED_VALUE"""),"40.661159,")</f>
        <v>40.661159,</v>
      </c>
      <c r="B277">
        <f>IFERROR(__xludf.DUMMYFUNCTION("""COMPUTED_VALUE"""),16.60879)</f>
        <v>16.60879</v>
      </c>
      <c r="C277" t="str">
        <f>IFERROR(__xludf.DUMMYFUNCTION("""COMPUTED_VALUE"""),"Casa Vacanza")</f>
        <v>Casa Vacanza</v>
      </c>
      <c r="D277" t="str">
        <f>IFERROR(__xludf.DUMMYFUNCTION("""COMPUTED_VALUE"""),"LA DIMORA DELL'EBANISTA")</f>
        <v>LA DIMORA DELL'EBANISTA</v>
      </c>
      <c r="E277" t="str">
        <f>IFERROR(__xludf.DUMMYFUNCTION("""COMPUTED_VALUE"""),"CORETTI NUNZIA ANNA")</f>
        <v>CORETTI NUNZIA ANNA</v>
      </c>
      <c r="F277" t="str">
        <f>IFERROR(__xludf.DUMMYFUNCTION("""COMPUTED_VALUE"""),"VIA CHIANCALATA 38")</f>
        <v>VIA CHIANCALATA 38</v>
      </c>
      <c r="G277" t="str">
        <f>IFERROR(__xludf.DUMMYFUNCTION("""COMPUTED_VALUE"""),"Matera")</f>
        <v>Matera</v>
      </c>
      <c r="H277" t="str">
        <f>IFERROR(__xludf.DUMMYFUNCTION("""COMPUTED_VALUE"""),"Italy")</f>
        <v>Italy</v>
      </c>
      <c r="I277">
        <f>IFERROR(__xludf.DUMMYFUNCTION("""COMPUTED_VALUE"""),454.0)</f>
        <v>454</v>
      </c>
      <c r="J277">
        <f>IFERROR(__xludf.DUMMYFUNCTION("""COMPUTED_VALUE"""),4.0)</f>
        <v>4</v>
      </c>
      <c r="K277">
        <f>IFERROR(__xludf.DUMMYFUNCTION("""COMPUTED_VALUE"""),103.0)</f>
        <v>103</v>
      </c>
      <c r="L277" t="str">
        <f>IFERROR(__xludf.DUMMYFUNCTION("""COMPUTED_VALUE"""),"CRTNZN64B64F052F")</f>
        <v>CRTNZN64B64F052F</v>
      </c>
      <c r="M277" t="str">
        <f>IFERROR(__xludf.DUMMYFUNCTION("""COMPUTED_VALUE"""),"")</f>
        <v/>
      </c>
      <c r="N277">
        <f>IFERROR(__xludf.DUMMYFUNCTION("""COMPUTED_VALUE"""),42540.0)</f>
        <v>42540</v>
      </c>
      <c r="O277" t="str">
        <f>IFERROR(__xludf.DUMMYFUNCTION("""COMPUTED_VALUE"""),"")</f>
        <v/>
      </c>
    </row>
    <row r="278">
      <c r="A278">
        <f>IFERROR(__xludf.DUMMYFUNCTION("""COMPUTED_VALUE"""),40.6664975236001)</f>
        <v>40.66649752</v>
      </c>
      <c r="B278">
        <f>IFERROR(__xludf.DUMMYFUNCTION("""COMPUTED_VALUE"""),16.6125315557341)</f>
        <v>16.61253156</v>
      </c>
      <c r="C278" t="str">
        <f>IFERROR(__xludf.DUMMYFUNCTION("""COMPUTED_VALUE"""),"Casa Vacanza")</f>
        <v>Casa Vacanza</v>
      </c>
      <c r="D278" t="str">
        <f>IFERROR(__xludf.DUMMYFUNCTION("""COMPUTED_VALUE"""),"LA DIMORA DELLA CIVITA")</f>
        <v>LA DIMORA DELLA CIVITA</v>
      </c>
      <c r="E278" t="str">
        <f>IFERROR(__xludf.DUMMYFUNCTION("""COMPUTED_VALUE"""),"DI MARZIO GIUSEPPE")</f>
        <v>DI MARZIO GIUSEPPE</v>
      </c>
      <c r="F278" t="str">
        <f>IFERROR(__xludf.DUMMYFUNCTION("""COMPUTED_VALUE"""),"VIA SAN POTITO 51")</f>
        <v>VIA SAN POTITO 51</v>
      </c>
      <c r="G278" t="str">
        <f>IFERROR(__xludf.DUMMYFUNCTION("""COMPUTED_VALUE"""),"Matera")</f>
        <v>Matera</v>
      </c>
      <c r="H278" t="str">
        <f>IFERROR(__xludf.DUMMYFUNCTION("""COMPUTED_VALUE"""),"Italy")</f>
        <v>Italy</v>
      </c>
      <c r="I278">
        <f>IFERROR(__xludf.DUMMYFUNCTION("""COMPUTED_VALUE"""),1410.0)</f>
        <v>1410</v>
      </c>
      <c r="J278">
        <f>IFERROR(__xludf.DUMMYFUNCTION("""COMPUTED_VALUE"""),4.0)</f>
        <v>4</v>
      </c>
      <c r="K278">
        <f>IFERROR(__xludf.DUMMYFUNCTION("""COMPUTED_VALUE"""),159.0)</f>
        <v>159</v>
      </c>
      <c r="L278" t="str">
        <f>IFERROR(__xludf.DUMMYFUNCTION("""COMPUTED_VALUE"""),"DMRGPP77A14F052Y")</f>
        <v>DMRGPP77A14F052Y</v>
      </c>
      <c r="M278">
        <f>IFERROR(__xludf.DUMMYFUNCTION("""COMPUTED_VALUE"""),4.0)</f>
        <v>4</v>
      </c>
      <c r="N278">
        <f>IFERROR(__xludf.DUMMYFUNCTION("""COMPUTED_VALUE"""),43231.0)</f>
        <v>43231</v>
      </c>
      <c r="O278" t="str">
        <f>IFERROR(__xludf.DUMMYFUNCTION("""COMPUTED_VALUE"""),"")</f>
        <v/>
      </c>
    </row>
    <row r="279">
      <c r="A279">
        <f>IFERROR(__xludf.DUMMYFUNCTION("""COMPUTED_VALUE"""),40.6640620643258)</f>
        <v>40.66406206</v>
      </c>
      <c r="B279">
        <f>IFERROR(__xludf.DUMMYFUNCTION("""COMPUTED_VALUE"""),16.6100772457438)</f>
        <v>16.61007725</v>
      </c>
      <c r="C279" t="str">
        <f>IFERROR(__xludf.DUMMYFUNCTION("""COMPUTED_VALUE"""),"Casa Vacanza")</f>
        <v>Casa Vacanza</v>
      </c>
      <c r="D279" t="str">
        <f>IFERROR(__xludf.DUMMYFUNCTION("""COMPUTED_VALUE"""),"LA DIMORA DELLE TRE ZIE")</f>
        <v>LA DIMORA DELLE TRE ZIE</v>
      </c>
      <c r="E279" t="str">
        <f>IFERROR(__xludf.DUMMYFUNCTION("""COMPUTED_VALUE"""),"MARILENA VENEZIA")</f>
        <v>MARILENA VENEZIA</v>
      </c>
      <c r="F279" t="str">
        <f>IFERROR(__xludf.DUMMYFUNCTION("""COMPUTED_VALUE"""),"VIA SAN BARTOLOMEO 7-10")</f>
        <v>VIA SAN BARTOLOMEO 7-10</v>
      </c>
      <c r="G279" t="str">
        <f>IFERROR(__xludf.DUMMYFUNCTION("""COMPUTED_VALUE"""),"Matera")</f>
        <v>Matera</v>
      </c>
      <c r="H279" t="str">
        <f>IFERROR(__xludf.DUMMYFUNCTION("""COMPUTED_VALUE"""),"Italy")</f>
        <v>Italy</v>
      </c>
      <c r="I279">
        <f>IFERROR(__xludf.DUMMYFUNCTION("""COMPUTED_VALUE"""),256.0)</f>
        <v>256</v>
      </c>
      <c r="J279">
        <f>IFERROR(__xludf.DUMMYFUNCTION("""COMPUTED_VALUE"""),4.0)</f>
        <v>4</v>
      </c>
      <c r="K279">
        <f>IFERROR(__xludf.DUMMYFUNCTION("""COMPUTED_VALUE"""),159.0)</f>
        <v>159</v>
      </c>
      <c r="L279" t="str">
        <f>IFERROR(__xludf.DUMMYFUNCTION("""COMPUTED_VALUE"""),"VNZMLN66M49F052Z")</f>
        <v>VNZMLN66M49F052Z</v>
      </c>
      <c r="M279">
        <f>IFERROR(__xludf.DUMMYFUNCTION("""COMPUTED_VALUE"""),3.0)</f>
        <v>3</v>
      </c>
      <c r="N279">
        <f>IFERROR(__xludf.DUMMYFUNCTION("""COMPUTED_VALUE"""),42845.0)</f>
        <v>42845</v>
      </c>
      <c r="O279">
        <f>IFERROR(__xludf.DUMMYFUNCTION("""COMPUTED_VALUE"""),1702.0)</f>
        <v>1702</v>
      </c>
    </row>
    <row r="280">
      <c r="A280">
        <f>IFERROR(__xludf.DUMMYFUNCTION("""COMPUTED_VALUE"""),40.6657662796814)</f>
        <v>40.66576628</v>
      </c>
      <c r="B280">
        <f>IFERROR(__xludf.DUMMYFUNCTION("""COMPUTED_VALUE"""),16.6108291297125)</f>
        <v>16.61082913</v>
      </c>
      <c r="C280" t="str">
        <f>IFERROR(__xludf.DUMMYFUNCTION("""COMPUTED_VALUE"""),"Casa Vacanza")</f>
        <v>Casa Vacanza</v>
      </c>
      <c r="D280" t="str">
        <f>IFERROR(__xludf.DUMMYFUNCTION("""COMPUTED_VALUE"""),"LA DIMORA DI CESARE")</f>
        <v>LA DIMORA DI CESARE</v>
      </c>
      <c r="E280" t="str">
        <f>IFERROR(__xludf.DUMMYFUNCTION("""COMPUTED_VALUE"""),"CESARE MAREMONTI")</f>
        <v>CESARE MAREMONTI</v>
      </c>
      <c r="F280" t="str">
        <f>IFERROR(__xludf.DUMMYFUNCTION("""COMPUTED_VALUE"""),"REC. SAN N. DE3L SOLE 5")</f>
        <v>REC. SAN N. DE3L SOLE 5</v>
      </c>
      <c r="G280" t="str">
        <f>IFERROR(__xludf.DUMMYFUNCTION("""COMPUTED_VALUE"""),"Matera")</f>
        <v>Matera</v>
      </c>
      <c r="H280" t="str">
        <f>IFERROR(__xludf.DUMMYFUNCTION("""COMPUTED_VALUE"""),"Italy")</f>
        <v>Italy</v>
      </c>
      <c r="I280">
        <f>IFERROR(__xludf.DUMMYFUNCTION("""COMPUTED_VALUE"""),1509.0)</f>
        <v>1509</v>
      </c>
      <c r="J280">
        <f>IFERROR(__xludf.DUMMYFUNCTION("""COMPUTED_VALUE"""),5.0)</f>
        <v>5</v>
      </c>
      <c r="K280">
        <f>IFERROR(__xludf.DUMMYFUNCTION("""COMPUTED_VALUE"""),159.0)</f>
        <v>159</v>
      </c>
      <c r="L280" t="str">
        <f>IFERROR(__xludf.DUMMYFUNCTION("""COMPUTED_VALUE"""),"MRMCSR57B09F052L")</f>
        <v>MRMCSR57B09F052L</v>
      </c>
      <c r="M280">
        <f>IFERROR(__xludf.DUMMYFUNCTION("""COMPUTED_VALUE"""),4.0)</f>
        <v>4</v>
      </c>
      <c r="N280">
        <f>IFERROR(__xludf.DUMMYFUNCTION("""COMPUTED_VALUE"""),42521.0)</f>
        <v>42521</v>
      </c>
      <c r="O280" t="str">
        <f>IFERROR(__xludf.DUMMYFUNCTION("""COMPUTED_VALUE"""),"")</f>
        <v/>
      </c>
    </row>
    <row r="281">
      <c r="A281">
        <f>IFERROR(__xludf.DUMMYFUNCTION("""COMPUTED_VALUE"""),40.6346413)</f>
        <v>40.6346413</v>
      </c>
      <c r="B281">
        <f>IFERROR(__xludf.DUMMYFUNCTION("""COMPUTED_VALUE"""),16.6354254)</f>
        <v>16.6354254</v>
      </c>
      <c r="C281" t="str">
        <f>IFERROR(__xludf.DUMMYFUNCTION("""COMPUTED_VALUE"""),"Casa Vacanza")</f>
        <v>Casa Vacanza</v>
      </c>
      <c r="D281" t="str">
        <f>IFERROR(__xludf.DUMMYFUNCTION("""COMPUTED_VALUE"""),"LA DIMORA DI OMERO")</f>
        <v>LA DIMORA DI OMERO</v>
      </c>
      <c r="E281" t="str">
        <f>IFERROR(__xludf.DUMMYFUNCTION("""COMPUTED_VALUE"""),"PARENTINI GIOVANNI")</f>
        <v>PARENTINI GIOVANNI</v>
      </c>
      <c r="F281" t="str">
        <f>IFERROR(__xludf.DUMMYFUNCTION("""COMPUTED_VALUE"""),"CONTRADA LE PIANE")</f>
        <v>CONTRADA LE PIANE</v>
      </c>
      <c r="G281" t="str">
        <f>IFERROR(__xludf.DUMMYFUNCTION("""COMPUTED_VALUE"""),"Matera")</f>
        <v>Matera</v>
      </c>
      <c r="H281" t="str">
        <f>IFERROR(__xludf.DUMMYFUNCTION("""COMPUTED_VALUE"""),"Italy")</f>
        <v>Italy</v>
      </c>
      <c r="I281">
        <f>IFERROR(__xludf.DUMMYFUNCTION("""COMPUTED_VALUE"""),934.0)</f>
        <v>934</v>
      </c>
      <c r="J281">
        <f>IFERROR(__xludf.DUMMYFUNCTION("""COMPUTED_VALUE"""),7.0)</f>
        <v>7</v>
      </c>
      <c r="K281">
        <f>IFERROR(__xludf.DUMMYFUNCTION("""COMPUTED_VALUE"""),114.0)</f>
        <v>114</v>
      </c>
      <c r="L281" t="str">
        <f>IFERROR(__xludf.DUMMYFUNCTION("""COMPUTED_VALUE"""),"PRNGNN61A27A662L")</f>
        <v>PRNGNN61A27A662L</v>
      </c>
      <c r="M281">
        <f>IFERROR(__xludf.DUMMYFUNCTION("""COMPUTED_VALUE"""),6.0)</f>
        <v>6</v>
      </c>
      <c r="N281">
        <f>IFERROR(__xludf.DUMMYFUNCTION("""COMPUTED_VALUE"""),42882.0)</f>
        <v>42882</v>
      </c>
      <c r="O281">
        <f>IFERROR(__xludf.DUMMYFUNCTION("""COMPUTED_VALUE"""),1730.0)</f>
        <v>1730</v>
      </c>
    </row>
    <row r="282">
      <c r="A282">
        <f>IFERROR(__xludf.DUMMYFUNCTION("""COMPUTED_VALUE"""),40.6678407)</f>
        <v>40.6678407</v>
      </c>
      <c r="B282">
        <f>IFERROR(__xludf.DUMMYFUNCTION("""COMPUTED_VALUE"""),16.6091579)</f>
        <v>16.6091579</v>
      </c>
      <c r="C282" t="str">
        <f>IFERROR(__xludf.DUMMYFUNCTION("""COMPUTED_VALUE"""),"Casa Vacanza")</f>
        <v>Casa Vacanza</v>
      </c>
      <c r="D282" t="str">
        <f>IFERROR(__xludf.DUMMYFUNCTION("""COMPUTED_VALUE"""),"LA FINESTRA SUL CAMPANILE")</f>
        <v>LA FINESTRA SUL CAMPANILE</v>
      </c>
      <c r="E282" t="str">
        <f>IFERROR(__xludf.DUMMYFUNCTION("""COMPUTED_VALUE"""),"PATRUNO GIUSEPPINA")</f>
        <v>PATRUNO GIUSEPPINA</v>
      </c>
      <c r="F282" t="str">
        <f>IFERROR(__xludf.DUMMYFUNCTION("""COMPUTED_VALUE"""),"VIA SAN ROCCO 77-91")</f>
        <v>VIA SAN ROCCO 77-91</v>
      </c>
      <c r="G282" t="str">
        <f>IFERROR(__xludf.DUMMYFUNCTION("""COMPUTED_VALUE"""),"Matera")</f>
        <v>Matera</v>
      </c>
      <c r="H282" t="str">
        <f>IFERROR(__xludf.DUMMYFUNCTION("""COMPUTED_VALUE"""),"Italy")</f>
        <v>Italy</v>
      </c>
      <c r="I282">
        <f>IFERROR(__xludf.DUMMYFUNCTION("""COMPUTED_VALUE"""),459.0)</f>
        <v>459</v>
      </c>
      <c r="J282">
        <f>IFERROR(__xludf.DUMMYFUNCTION("""COMPUTED_VALUE"""),9.0)</f>
        <v>9</v>
      </c>
      <c r="K282">
        <f>IFERROR(__xludf.DUMMYFUNCTION("""COMPUTED_VALUE"""),159.0)</f>
        <v>159</v>
      </c>
      <c r="L282">
        <f>IFERROR(__xludf.DUMMYFUNCTION("""COMPUTED_VALUE"""),1.327000772E9)</f>
        <v>1327000772</v>
      </c>
      <c r="M282">
        <f>IFERROR(__xludf.DUMMYFUNCTION("""COMPUTED_VALUE"""),11.0)</f>
        <v>11</v>
      </c>
      <c r="N282">
        <f>IFERROR(__xludf.DUMMYFUNCTION("""COMPUTED_VALUE"""),42935.0)</f>
        <v>42935</v>
      </c>
      <c r="O282" t="str">
        <f>IFERROR(__xludf.DUMMYFUNCTION("""COMPUTED_VALUE"""),"")</f>
        <v/>
      </c>
    </row>
    <row r="283">
      <c r="A283">
        <f>IFERROR(__xludf.DUMMYFUNCTION("""COMPUTED_VALUE"""),40.6658105695512)</f>
        <v>40.66581057</v>
      </c>
      <c r="B283">
        <f>IFERROR(__xludf.DUMMYFUNCTION("""COMPUTED_VALUE"""),16.6044763744598)</f>
        <v>16.60447637</v>
      </c>
      <c r="C283" t="str">
        <f>IFERROR(__xludf.DUMMYFUNCTION("""COMPUTED_VALUE"""),"Casa Vacanze")</f>
        <v>Casa Vacanze</v>
      </c>
      <c r="D283" t="str">
        <f>IFERROR(__xludf.DUMMYFUNCTION("""COMPUTED_VALUE"""),"LA GIOSTRA")</f>
        <v>LA GIOSTRA</v>
      </c>
      <c r="E283" t="str">
        <f>IFERROR(__xludf.DUMMYFUNCTION("""COMPUTED_VALUE"""),"GABOR ANTONELLA MARINELLA")</f>
        <v>GABOR ANTONELLA MARINELLA</v>
      </c>
      <c r="F283" t="str">
        <f>IFERROR(__xludf.DUMMYFUNCTION("""COMPUTED_VALUE"""),"PIAZZA MULINO 14")</f>
        <v>PIAZZA MULINO 14</v>
      </c>
      <c r="G283" t="str">
        <f>IFERROR(__xludf.DUMMYFUNCTION("""COMPUTED_VALUE"""),"Matera ")</f>
        <v>Matera </v>
      </c>
      <c r="H283" t="str">
        <f>IFERROR(__xludf.DUMMYFUNCTION("""COMPUTED_VALUE"""),"Italy")</f>
        <v>Italy</v>
      </c>
      <c r="I283">
        <f>IFERROR(__xludf.DUMMYFUNCTION("""COMPUTED_VALUE"""),1630.0)</f>
        <v>1630</v>
      </c>
      <c r="J283">
        <f>IFERROR(__xludf.DUMMYFUNCTION("""COMPUTED_VALUE"""),117.0)</f>
        <v>117</v>
      </c>
      <c r="K283">
        <f>IFERROR(__xludf.DUMMYFUNCTION("""COMPUTED_VALUE"""),71.0)</f>
        <v>71</v>
      </c>
      <c r="L283" t="str">
        <f>IFERROR(__xludf.DUMMYFUNCTION("""COMPUTED_VALUE"""),"GBRNNL90H53Z129K")</f>
        <v>GBRNNL90H53Z129K</v>
      </c>
      <c r="M283">
        <f>IFERROR(__xludf.DUMMYFUNCTION("""COMPUTED_VALUE"""),4.0)</f>
        <v>4</v>
      </c>
      <c r="N283">
        <f>IFERROR(__xludf.DUMMYFUNCTION("""COMPUTED_VALUE"""),43210.0)</f>
        <v>43210</v>
      </c>
      <c r="O283" t="str">
        <f>IFERROR(__xludf.DUMMYFUNCTION("""COMPUTED_VALUE"""),"")</f>
        <v/>
      </c>
    </row>
    <row r="284">
      <c r="A284">
        <f>IFERROR(__xludf.DUMMYFUNCTION("""COMPUTED_VALUE"""),40.6538750218352)</f>
        <v>40.65387502</v>
      </c>
      <c r="B284">
        <f>IFERROR(__xludf.DUMMYFUNCTION("""COMPUTED_VALUE"""),16.6169064854608)</f>
        <v>16.61690649</v>
      </c>
      <c r="C284" t="str">
        <f>IFERROR(__xludf.DUMMYFUNCTION("""COMPUTED_VALUE"""),"Casa Vacanza")</f>
        <v>Casa Vacanza</v>
      </c>
      <c r="D284" t="str">
        <f>IFERROR(__xludf.DUMMYFUNCTION("""COMPUTED_VALUE"""),"LA GIUGGIOLA")</f>
        <v>LA GIUGGIOLA</v>
      </c>
      <c r="E284" t="str">
        <f>IFERROR(__xludf.DUMMYFUNCTION("""COMPUTED_VALUE"""),"LOCURATOLO MARGHERITA")</f>
        <v>LOCURATOLO MARGHERITA</v>
      </c>
      <c r="F284" t="str">
        <f>IFERROR(__xludf.DUMMYFUNCTION("""COMPUTED_VALUE"""),"VIA CAPPUCCINI 8")</f>
        <v>VIA CAPPUCCINI 8</v>
      </c>
      <c r="G284" t="str">
        <f>IFERROR(__xludf.DUMMYFUNCTION("""COMPUTED_VALUE"""),"Matera")</f>
        <v>Matera</v>
      </c>
      <c r="H284" t="str">
        <f>IFERROR(__xludf.DUMMYFUNCTION("""COMPUTED_VALUE"""),"Italy")</f>
        <v>Italy</v>
      </c>
      <c r="I284">
        <f>IFERROR(__xludf.DUMMYFUNCTION("""COMPUTED_VALUE"""),274.0)</f>
        <v>274</v>
      </c>
      <c r="J284">
        <f>IFERROR(__xludf.DUMMYFUNCTION("""COMPUTED_VALUE"""),8.0)</f>
        <v>8</v>
      </c>
      <c r="K284">
        <f>IFERROR(__xludf.DUMMYFUNCTION("""COMPUTED_VALUE"""),105.0)</f>
        <v>105</v>
      </c>
      <c r="L284" t="str">
        <f>IFERROR(__xludf.DUMMYFUNCTION("""COMPUTED_VALUE"""),"LCRMGH77A67C134G")</f>
        <v>LCRMGH77A67C134G</v>
      </c>
      <c r="M284">
        <f>IFERROR(__xludf.DUMMYFUNCTION("""COMPUTED_VALUE"""),5.0)</f>
        <v>5</v>
      </c>
      <c r="N284">
        <f>IFERROR(__xludf.DUMMYFUNCTION("""COMPUTED_VALUE"""),43004.0)</f>
        <v>43004</v>
      </c>
      <c r="O284" t="str">
        <f>IFERROR(__xludf.DUMMYFUNCTION("""COMPUTED_VALUE"""),"")</f>
        <v/>
      </c>
    </row>
    <row r="285">
      <c r="A285">
        <f>IFERROR(__xludf.DUMMYFUNCTION("""COMPUTED_VALUE"""),40.6643512250851)</f>
        <v>40.66435123</v>
      </c>
      <c r="B285">
        <f>IFERROR(__xludf.DUMMYFUNCTION("""COMPUTED_VALUE"""),16.6095479316998)</f>
        <v>16.60954793</v>
      </c>
      <c r="C285" t="str">
        <f>IFERROR(__xludf.DUMMYFUNCTION("""COMPUTED_VALUE"""),"Casa Vacanza")</f>
        <v>Casa Vacanza</v>
      </c>
      <c r="D285" t="str">
        <f>IFERROR(__xludf.DUMMYFUNCTION("""COMPUTED_VALUE"""),"LA GROTTA DI LULU'")</f>
        <v>LA GROTTA DI LULU'</v>
      </c>
      <c r="E285" t="str">
        <f>IFERROR(__xludf.DUMMYFUNCTION("""COMPUTED_VALUE"""),"MAZZEI LUISA")</f>
        <v>MAZZEI LUISA</v>
      </c>
      <c r="F285" t="str">
        <f>IFERROR(__xludf.DUMMYFUNCTION("""COMPUTED_VALUE"""),"VICO PURGATORIO 10")</f>
        <v>VICO PURGATORIO 10</v>
      </c>
      <c r="G285" t="str">
        <f>IFERROR(__xludf.DUMMYFUNCTION("""COMPUTED_VALUE"""),"Matera")</f>
        <v>Matera</v>
      </c>
      <c r="H285" t="str">
        <f>IFERROR(__xludf.DUMMYFUNCTION("""COMPUTED_VALUE"""),"Italy")</f>
        <v>Italy</v>
      </c>
      <c r="I285">
        <f>IFERROR(__xludf.DUMMYFUNCTION("""COMPUTED_VALUE"""),1880.0)</f>
        <v>1880</v>
      </c>
      <c r="J285">
        <f>IFERROR(__xludf.DUMMYFUNCTION("""COMPUTED_VALUE"""),9.0)</f>
        <v>9</v>
      </c>
      <c r="K285">
        <f>IFERROR(__xludf.DUMMYFUNCTION("""COMPUTED_VALUE"""),159.0)</f>
        <v>159</v>
      </c>
      <c r="L285" t="str">
        <f>IFERROR(__xludf.DUMMYFUNCTION("""COMPUTED_VALUE"""),"MZZLSU76B60C134X")</f>
        <v>MZZLSU76B60C134X</v>
      </c>
      <c r="M285">
        <f>IFERROR(__xludf.DUMMYFUNCTION("""COMPUTED_VALUE"""),2.0)</f>
        <v>2</v>
      </c>
      <c r="N285">
        <f>IFERROR(__xludf.DUMMYFUNCTION("""COMPUTED_VALUE"""),42507.0)</f>
        <v>42507</v>
      </c>
      <c r="O285">
        <f>IFERROR(__xludf.DUMMYFUNCTION("""COMPUTED_VALUE"""),1832.0)</f>
        <v>1832</v>
      </c>
    </row>
    <row r="286">
      <c r="A286">
        <f>IFERROR(__xludf.DUMMYFUNCTION("""COMPUTED_VALUE"""),40.6662167)</f>
        <v>40.6662167</v>
      </c>
      <c r="B286">
        <f>IFERROR(__xludf.DUMMYFUNCTION("""COMPUTED_VALUE"""),16.609358)</f>
        <v>16.609358</v>
      </c>
      <c r="C286" t="str">
        <f>IFERROR(__xludf.DUMMYFUNCTION("""COMPUTED_VALUE"""),"Casa Vacanza")</f>
        <v>Casa Vacanza</v>
      </c>
      <c r="D286" t="str">
        <f>IFERROR(__xludf.DUMMYFUNCTION("""COMPUTED_VALUE"""),"LA GROTTA NEL BARISANO")</f>
        <v>LA GROTTA NEL BARISANO</v>
      </c>
      <c r="E286" t="str">
        <f>IFERROR(__xludf.DUMMYFUNCTION("""COMPUTED_VALUE"""),"BIANCHI MARIA LAURA")</f>
        <v>BIANCHI MARIA LAURA</v>
      </c>
      <c r="F286" t="str">
        <f>IFERROR(__xludf.DUMMYFUNCTION("""COMPUTED_VALUE"""),"VIA SAN VITO 3")</f>
        <v>VIA SAN VITO 3</v>
      </c>
      <c r="G286" t="str">
        <f>IFERROR(__xludf.DUMMYFUNCTION("""COMPUTED_VALUE"""),"Matera")</f>
        <v>Matera</v>
      </c>
      <c r="H286" t="str">
        <f>IFERROR(__xludf.DUMMYFUNCTION("""COMPUTED_VALUE"""),"Italy")</f>
        <v>Italy</v>
      </c>
      <c r="I286">
        <f>IFERROR(__xludf.DUMMYFUNCTION("""COMPUTED_VALUE"""),733.0)</f>
        <v>733</v>
      </c>
      <c r="J286" t="str">
        <f>IFERROR(__xludf.DUMMYFUNCTION("""COMPUTED_VALUE"""),"")</f>
        <v/>
      </c>
      <c r="K286">
        <f>IFERROR(__xludf.DUMMYFUNCTION("""COMPUTED_VALUE"""),159.0)</f>
        <v>159</v>
      </c>
      <c r="L286" t="str">
        <f>IFERROR(__xludf.DUMMYFUNCTION("""COMPUTED_VALUE"""),"BNCMLR91L42B519S")</f>
        <v>BNCMLR91L42B519S</v>
      </c>
      <c r="M286">
        <f>IFERROR(__xludf.DUMMYFUNCTION("""COMPUTED_VALUE"""),4.0)</f>
        <v>4</v>
      </c>
      <c r="N286">
        <f>IFERROR(__xludf.DUMMYFUNCTION("""COMPUTED_VALUE"""),42915.0)</f>
        <v>42915</v>
      </c>
      <c r="O286" t="str">
        <f>IFERROR(__xludf.DUMMYFUNCTION("""COMPUTED_VALUE"""),"")</f>
        <v/>
      </c>
    </row>
    <row r="287">
      <c r="A287">
        <f>IFERROR(__xludf.DUMMYFUNCTION("""COMPUTED_VALUE"""),40.6651417805115)</f>
        <v>40.66514178</v>
      </c>
      <c r="B287">
        <f>IFERROR(__xludf.DUMMYFUNCTION("""COMPUTED_VALUE"""),16.5378784651349)</f>
        <v>16.53787847</v>
      </c>
      <c r="C287" t="str">
        <f>IFERROR(__xludf.DUMMYFUNCTION("""COMPUTED_VALUE"""),"Casa Vacanza")</f>
        <v>Casa Vacanza</v>
      </c>
      <c r="D287" t="str">
        <f>IFERROR(__xludf.DUMMYFUNCTION("""COMPUTED_VALUE"""),"LA JOTT")</f>
        <v>LA JOTT</v>
      </c>
      <c r="E287" t="str">
        <f>IFERROR(__xludf.DUMMYFUNCTION("""COMPUTED_VALUE"""),"GUERRICCHIO VINCENZA")</f>
        <v>GUERRICCHIO VINCENZA</v>
      </c>
      <c r="F287" t="str">
        <f>IFERROR(__xludf.DUMMYFUNCTION("""COMPUTED_VALUE"""),"VIA TEVERE 22")</f>
        <v>VIA TEVERE 22</v>
      </c>
      <c r="G287" t="str">
        <f>IFERROR(__xludf.DUMMYFUNCTION("""COMPUTED_VALUE"""),"Matera")</f>
        <v>Matera</v>
      </c>
      <c r="H287" t="str">
        <f>IFERROR(__xludf.DUMMYFUNCTION("""COMPUTED_VALUE"""),"Italy")</f>
        <v>Italy</v>
      </c>
      <c r="I287">
        <f>IFERROR(__xludf.DUMMYFUNCTION("""COMPUTED_VALUE"""),2636.0)</f>
        <v>2636</v>
      </c>
      <c r="J287">
        <f>IFERROR(__xludf.DUMMYFUNCTION("""COMPUTED_VALUE"""),4.0)</f>
        <v>4</v>
      </c>
      <c r="K287">
        <f>IFERROR(__xludf.DUMMYFUNCTION("""COMPUTED_VALUE"""),65.0)</f>
        <v>65</v>
      </c>
      <c r="L287" t="str">
        <f>IFERROR(__xludf.DUMMYFUNCTION("""COMPUTED_VALUE"""),"GRRVCN72T70F052G")</f>
        <v>GRRVCN72T70F052G</v>
      </c>
      <c r="M287">
        <f>IFERROR(__xludf.DUMMYFUNCTION("""COMPUTED_VALUE"""),4.0)</f>
        <v>4</v>
      </c>
      <c r="N287">
        <f>IFERROR(__xludf.DUMMYFUNCTION("""COMPUTED_VALUE"""),42444.0)</f>
        <v>42444</v>
      </c>
      <c r="O287" t="str">
        <f>IFERROR(__xludf.DUMMYFUNCTION("""COMPUTED_VALUE"""),"")</f>
        <v/>
      </c>
    </row>
    <row r="288">
      <c r="A288">
        <f>IFERROR(__xludf.DUMMYFUNCTION("""COMPUTED_VALUE"""),40.6637873)</f>
        <v>40.6637873</v>
      </c>
      <c r="B288">
        <f>IFERROR(__xludf.DUMMYFUNCTION("""COMPUTED_VALUE"""),16.6124429)</f>
        <v>16.6124429</v>
      </c>
      <c r="C288" t="str">
        <f>IFERROR(__xludf.DUMMYFUNCTION("""COMPUTED_VALUE"""),"Casa Vacanza")</f>
        <v>Casa Vacanza</v>
      </c>
      <c r="D288" t="str">
        <f>IFERROR(__xludf.DUMMYFUNCTION("""COMPUTED_VALUE"""),"LA LUCE NEI SASSI")</f>
        <v>LA LUCE NEI SASSI</v>
      </c>
      <c r="E288" t="str">
        <f>IFERROR(__xludf.DUMMYFUNCTION("""COMPUTED_VALUE"""),"AICALE VITO")</f>
        <v>AICALE VITO</v>
      </c>
      <c r="F288" t="str">
        <f>IFERROR(__xludf.DUMMYFUNCTION("""COMPUTED_VALUE"""),"VICO 1°CASALNUOVO 35")</f>
        <v>VICO 1°CASALNUOVO 35</v>
      </c>
      <c r="G288" t="str">
        <f>IFERROR(__xludf.DUMMYFUNCTION("""COMPUTED_VALUE"""),"Matera")</f>
        <v>Matera</v>
      </c>
      <c r="H288" t="str">
        <f>IFERROR(__xludf.DUMMYFUNCTION("""COMPUTED_VALUE"""),"Italy")</f>
        <v>Italy</v>
      </c>
      <c r="I288">
        <f>IFERROR(__xludf.DUMMYFUNCTION("""COMPUTED_VALUE"""),2480.0)</f>
        <v>2480</v>
      </c>
      <c r="J288">
        <f>IFERROR(__xludf.DUMMYFUNCTION("""COMPUTED_VALUE"""),1.0)</f>
        <v>1</v>
      </c>
      <c r="K288">
        <f>IFERROR(__xludf.DUMMYFUNCTION("""COMPUTED_VALUE"""),159.0)</f>
        <v>159</v>
      </c>
      <c r="L288" t="str">
        <f>IFERROR(__xludf.DUMMYFUNCTION("""COMPUTED_VALUE"""),"CLAVTI59E17G942P")</f>
        <v>CLAVTI59E17G942P</v>
      </c>
      <c r="M288">
        <f>IFERROR(__xludf.DUMMYFUNCTION("""COMPUTED_VALUE"""),6.0)</f>
        <v>6</v>
      </c>
      <c r="N288">
        <f>IFERROR(__xludf.DUMMYFUNCTION("""COMPUTED_VALUE"""),42864.0)</f>
        <v>42864</v>
      </c>
      <c r="O288">
        <f>IFERROR(__xludf.DUMMYFUNCTION("""COMPUTED_VALUE"""),1809.0)</f>
        <v>1809</v>
      </c>
    </row>
    <row r="289">
      <c r="A289">
        <f>IFERROR(__xludf.DUMMYFUNCTION("""COMPUTED_VALUE"""),40.6700955248363)</f>
        <v>40.67009552</v>
      </c>
      <c r="B289">
        <f>IFERROR(__xludf.DUMMYFUNCTION("""COMPUTED_VALUE"""),16.6078877706901)</f>
        <v>16.60788777</v>
      </c>
      <c r="C289" t="str">
        <f>IFERROR(__xludf.DUMMYFUNCTION("""COMPUTED_VALUE"""),"Casa Vacanza")</f>
        <v>Casa Vacanza</v>
      </c>
      <c r="D289" t="str">
        <f>IFERROR(__xludf.DUMMYFUNCTION("""COMPUTED_VALUE"""),"LA MAGIA NEI SASSI")</f>
        <v>LA MAGIA NEI SASSI</v>
      </c>
      <c r="E289" t="str">
        <f>IFERROR(__xludf.DUMMYFUNCTION("""COMPUTED_VALUE"""),"MUCCI MARILENA")</f>
        <v>MUCCI MARILENA</v>
      </c>
      <c r="F289" t="str">
        <f>IFERROR(__xludf.DUMMYFUNCTION("""COMPUTED_VALUE"""),"VICO 1° P. FESTA 8")</f>
        <v>VICO 1° P. FESTA 8</v>
      </c>
      <c r="G289" t="str">
        <f>IFERROR(__xludf.DUMMYFUNCTION("""COMPUTED_VALUE"""),"Matera")</f>
        <v>Matera</v>
      </c>
      <c r="H289" t="str">
        <f>IFERROR(__xludf.DUMMYFUNCTION("""COMPUTED_VALUE"""),"Italy")</f>
        <v>Italy</v>
      </c>
      <c r="I289">
        <f>IFERROR(__xludf.DUMMYFUNCTION("""COMPUTED_VALUE"""),3603.0)</f>
        <v>3603</v>
      </c>
      <c r="J289">
        <f>IFERROR(__xludf.DUMMYFUNCTION("""COMPUTED_VALUE"""),12.0)</f>
        <v>12</v>
      </c>
      <c r="K289">
        <f>IFERROR(__xludf.DUMMYFUNCTION("""COMPUTED_VALUE"""),159.0)</f>
        <v>159</v>
      </c>
      <c r="L289" t="str">
        <f>IFERROR(__xludf.DUMMYFUNCTION("""COMPUTED_VALUE"""),"MCCMLN81A49F052M")</f>
        <v>MCCMLN81A49F052M</v>
      </c>
      <c r="M289">
        <f>IFERROR(__xludf.DUMMYFUNCTION("""COMPUTED_VALUE"""),3.0)</f>
        <v>3</v>
      </c>
      <c r="N289">
        <f>IFERROR(__xludf.DUMMYFUNCTION("""COMPUTED_VALUE"""),42464.0)</f>
        <v>42464</v>
      </c>
      <c r="O289" t="str">
        <f>IFERROR(__xludf.DUMMYFUNCTION("""COMPUTED_VALUE"""),"")</f>
        <v/>
      </c>
    </row>
    <row r="290">
      <c r="A290">
        <f>IFERROR(__xludf.DUMMYFUNCTION("""COMPUTED_VALUE"""),40.6707536325696)</f>
        <v>40.67075363</v>
      </c>
      <c r="B290">
        <f>IFERROR(__xludf.DUMMYFUNCTION("""COMPUTED_VALUE"""),16.6068165652094)</f>
        <v>16.60681657</v>
      </c>
      <c r="C290" t="str">
        <f>IFERROR(__xludf.DUMMYFUNCTION("""COMPUTED_VALUE"""),"Casa Vacanza")</f>
        <v>Casa Vacanza</v>
      </c>
      <c r="D290" t="str">
        <f>IFERROR(__xludf.DUMMYFUNCTION("""COMPUTED_VALUE"""),"LA MANSARDINA")</f>
        <v>LA MANSARDINA</v>
      </c>
      <c r="E290" t="str">
        <f>IFERROR(__xludf.DUMMYFUNCTION("""COMPUTED_VALUE"""),"FONTANA VINCENZO")</f>
        <v>FONTANA VINCENZO</v>
      </c>
      <c r="F290" t="str">
        <f>IFERROR(__xludf.DUMMYFUNCTION("""COMPUTED_VALUE"""),"VIA G.B. PENTASUGLIA 42 2 PIANO")</f>
        <v>VIA G.B. PENTASUGLIA 42 2 PIANO</v>
      </c>
      <c r="G290" t="str">
        <f>IFERROR(__xludf.DUMMYFUNCTION("""COMPUTED_VALUE"""),"Matera")</f>
        <v>Matera</v>
      </c>
      <c r="H290" t="str">
        <f>IFERROR(__xludf.DUMMYFUNCTION("""COMPUTED_VALUE"""),"Italy")</f>
        <v>Italy</v>
      </c>
      <c r="I290">
        <f>IFERROR(__xludf.DUMMYFUNCTION("""COMPUTED_VALUE"""),3691.0)</f>
        <v>3691</v>
      </c>
      <c r="J290">
        <f>IFERROR(__xludf.DUMMYFUNCTION("""COMPUTED_VALUE"""),42.0)</f>
        <v>42</v>
      </c>
      <c r="K290">
        <f>IFERROR(__xludf.DUMMYFUNCTION("""COMPUTED_VALUE"""),159.0)</f>
        <v>159</v>
      </c>
      <c r="L290" t="str">
        <f>IFERROR(__xludf.DUMMYFUNCTION("""COMPUTED_VALUE"""),"FNTVCN57H29F052Z")</f>
        <v>FNTVCN57H29F052Z</v>
      </c>
      <c r="M290">
        <f>IFERROR(__xludf.DUMMYFUNCTION("""COMPUTED_VALUE"""),2.0)</f>
        <v>2</v>
      </c>
      <c r="N290">
        <f>IFERROR(__xludf.DUMMYFUNCTION("""COMPUTED_VALUE"""),42587.0)</f>
        <v>42587</v>
      </c>
      <c r="O290" t="str">
        <f>IFERROR(__xludf.DUMMYFUNCTION("""COMPUTED_VALUE"""),"")</f>
        <v/>
      </c>
    </row>
    <row r="291">
      <c r="A291">
        <f>IFERROR(__xludf.DUMMYFUNCTION("""COMPUTED_VALUE"""),40.6611822)</f>
        <v>40.6611822</v>
      </c>
      <c r="B291">
        <f>IFERROR(__xludf.DUMMYFUNCTION("""COMPUTED_VALUE"""),16.6125711)</f>
        <v>16.6125711</v>
      </c>
      <c r="C291" t="str">
        <f>IFERROR(__xludf.DUMMYFUNCTION("""COMPUTED_VALUE"""),"Casa Vacanza")</f>
        <v>Casa Vacanza</v>
      </c>
      <c r="D291" t="str">
        <f>IFERROR(__xludf.DUMMYFUNCTION("""COMPUTED_VALUE"""),"LA PERGOLA AI SASSI")</f>
        <v>LA PERGOLA AI SASSI</v>
      </c>
      <c r="E291" t="str">
        <f>IFERROR(__xludf.DUMMYFUNCTION("""COMPUTED_VALUE"""),"MANCINI CHIARA")</f>
        <v>MANCINI CHIARA</v>
      </c>
      <c r="F291" t="str">
        <f>IFERROR(__xludf.DUMMYFUNCTION("""COMPUTED_VALUE"""),"VICO 1 CASALNUOVO 49")</f>
        <v>VICO 1 CASALNUOVO 49</v>
      </c>
      <c r="G291" t="str">
        <f>IFERROR(__xludf.DUMMYFUNCTION("""COMPUTED_VALUE"""),"Matera")</f>
        <v>Matera</v>
      </c>
      <c r="H291" t="str">
        <f>IFERROR(__xludf.DUMMYFUNCTION("""COMPUTED_VALUE"""),"Italy")</f>
        <v>Italy</v>
      </c>
      <c r="I291">
        <f>IFERROR(__xludf.DUMMYFUNCTION("""COMPUTED_VALUE"""),2464.0)</f>
        <v>2464</v>
      </c>
      <c r="J291">
        <f>IFERROR(__xludf.DUMMYFUNCTION("""COMPUTED_VALUE"""),17.0)</f>
        <v>17</v>
      </c>
      <c r="K291">
        <f>IFERROR(__xludf.DUMMYFUNCTION("""COMPUTED_VALUE"""),159.0)</f>
        <v>159</v>
      </c>
      <c r="L291" t="str">
        <f>IFERROR(__xludf.DUMMYFUNCTION("""COMPUTED_VALUE"""),"MNCCHR75E54F052D")</f>
        <v>MNCCHR75E54F052D</v>
      </c>
      <c r="M291">
        <f>IFERROR(__xludf.DUMMYFUNCTION("""COMPUTED_VALUE"""),2.0)</f>
        <v>2</v>
      </c>
      <c r="N291">
        <f>IFERROR(__xludf.DUMMYFUNCTION("""COMPUTED_VALUE"""),42563.0)</f>
        <v>42563</v>
      </c>
      <c r="O291">
        <f>IFERROR(__xludf.DUMMYFUNCTION("""COMPUTED_VALUE"""),1217.0)</f>
        <v>1217</v>
      </c>
    </row>
    <row r="292">
      <c r="A292">
        <f>IFERROR(__xludf.DUMMYFUNCTION("""COMPUTED_VALUE"""),40.6768518385176)</f>
        <v>40.67685184</v>
      </c>
      <c r="B292">
        <f>IFERROR(__xludf.DUMMYFUNCTION("""COMPUTED_VALUE"""),16.5963716719071)</f>
        <v>16.59637167</v>
      </c>
      <c r="C292" t="str">
        <f>IFERROR(__xludf.DUMMYFUNCTION("""COMPUTED_VALUE"""),"Casa Vacanza")</f>
        <v>Casa Vacanza</v>
      </c>
      <c r="D292" t="str">
        <f>IFERROR(__xludf.DUMMYFUNCTION("""COMPUTED_VALUE"""),"LA PERLA")</f>
        <v>LA PERLA</v>
      </c>
      <c r="E292" t="str">
        <f>IFERROR(__xludf.DUMMYFUNCTION("""COMPUTED_VALUE"""),"CASIELLO TERESA")</f>
        <v>CASIELLO TERESA</v>
      </c>
      <c r="F292" t="str">
        <f>IFERROR(__xludf.DUMMYFUNCTION("""COMPUTED_VALUE"""),"VIA CASTELLO 42")</f>
        <v>VIA CASTELLO 42</v>
      </c>
      <c r="G292" t="str">
        <f>IFERROR(__xludf.DUMMYFUNCTION("""COMPUTED_VALUE"""),"Matera")</f>
        <v>Matera</v>
      </c>
      <c r="H292" t="str">
        <f>IFERROR(__xludf.DUMMYFUNCTION("""COMPUTED_VALUE"""),"Italy")</f>
        <v>Italy</v>
      </c>
      <c r="I292">
        <f>IFERROR(__xludf.DUMMYFUNCTION("""COMPUTED_VALUE"""),5107.0)</f>
        <v>5107</v>
      </c>
      <c r="J292">
        <f>IFERROR(__xludf.DUMMYFUNCTION("""COMPUTED_VALUE"""),15.0)</f>
        <v>15</v>
      </c>
      <c r="K292">
        <f>IFERROR(__xludf.DUMMYFUNCTION("""COMPUTED_VALUE"""),159.0)</f>
        <v>159</v>
      </c>
      <c r="L292" t="str">
        <f>IFERROR(__xludf.DUMMYFUNCTION("""COMPUTED_VALUE"""),"CSLTRS46D50F052M")</f>
        <v>CSLTRS46D50F052M</v>
      </c>
      <c r="M292">
        <f>IFERROR(__xludf.DUMMYFUNCTION("""COMPUTED_VALUE"""),4.0)</f>
        <v>4</v>
      </c>
      <c r="N292">
        <f>IFERROR(__xludf.DUMMYFUNCTION("""COMPUTED_VALUE"""),42192.0)</f>
        <v>42192</v>
      </c>
      <c r="O292" t="str">
        <f>IFERROR(__xludf.DUMMYFUNCTION("""COMPUTED_VALUE"""),"")</f>
        <v/>
      </c>
    </row>
    <row r="293">
      <c r="A293">
        <f>IFERROR(__xludf.DUMMYFUNCTION("""COMPUTED_VALUE"""),40.6670941)</f>
        <v>40.6670941</v>
      </c>
      <c r="B293">
        <f>IFERROR(__xludf.DUMMYFUNCTION("""COMPUTED_VALUE"""),16.6070503)</f>
        <v>16.6070503</v>
      </c>
      <c r="C293" t="str">
        <f>IFERROR(__xludf.DUMMYFUNCTION("""COMPUTED_VALUE"""),"Casa Vacanza")</f>
        <v>Casa Vacanza</v>
      </c>
      <c r="D293" t="str">
        <f>IFERROR(__xludf.DUMMYFUNCTION("""COMPUTED_VALUE"""),"LA PERLA NEI SASSI")</f>
        <v>LA PERLA NEI SASSI</v>
      </c>
      <c r="E293" t="str">
        <f>IFERROR(__xludf.DUMMYFUNCTION("""COMPUTED_VALUE"""),"VINCENZA COLONNA")</f>
        <v>VINCENZA COLONNA</v>
      </c>
      <c r="F293" t="str">
        <f>IFERROR(__xludf.DUMMYFUNCTION("""COMPUTED_VALUE"""),"REC. SAN BIAGIO 7")</f>
        <v>REC. SAN BIAGIO 7</v>
      </c>
      <c r="G293" t="str">
        <f>IFERROR(__xludf.DUMMYFUNCTION("""COMPUTED_VALUE"""),"Matera")</f>
        <v>Matera</v>
      </c>
      <c r="H293" t="str">
        <f>IFERROR(__xludf.DUMMYFUNCTION("""COMPUTED_VALUE"""),"Italy")</f>
        <v>Italy</v>
      </c>
      <c r="I293">
        <f>IFERROR(__xludf.DUMMYFUNCTION("""COMPUTED_VALUE"""),2749.0)</f>
        <v>2749</v>
      </c>
      <c r="J293">
        <f>IFERROR(__xludf.DUMMYFUNCTION("""COMPUTED_VALUE"""),14.0)</f>
        <v>14</v>
      </c>
      <c r="K293">
        <f>IFERROR(__xludf.DUMMYFUNCTION("""COMPUTED_VALUE"""),159.0)</f>
        <v>159</v>
      </c>
      <c r="L293" t="str">
        <f>IFERROR(__xludf.DUMMYFUNCTION("""COMPUTED_VALUE"""),"CLNVCN75R64F052G")</f>
        <v>CLNVCN75R64F052G</v>
      </c>
      <c r="M293">
        <f>IFERROR(__xludf.DUMMYFUNCTION("""COMPUTED_VALUE"""),3.0)</f>
        <v>3</v>
      </c>
      <c r="N293">
        <f>IFERROR(__xludf.DUMMYFUNCTION("""COMPUTED_VALUE"""),42010.0)</f>
        <v>42010</v>
      </c>
      <c r="O293" t="str">
        <f>IFERROR(__xludf.DUMMYFUNCTION("""COMPUTED_VALUE"""),"")</f>
        <v/>
      </c>
    </row>
    <row r="294">
      <c r="A294" t="str">
        <f>IFERROR(__xludf.DUMMYFUNCTION("""COMPUTED_VALUE"""),"40.675640,")</f>
        <v>40.675640,</v>
      </c>
      <c r="B294">
        <f>IFERROR(__xludf.DUMMYFUNCTION("""COMPUTED_VALUE"""),16.595882)</f>
        <v>16.595882</v>
      </c>
      <c r="C294" t="str">
        <f>IFERROR(__xludf.DUMMYFUNCTION("""COMPUTED_VALUE"""),"Casa Vacanza")</f>
        <v>Casa Vacanza</v>
      </c>
      <c r="D294" t="str">
        <f>IFERROR(__xludf.DUMMYFUNCTION("""COMPUTED_VALUE"""),"LA PRIMA CASA")</f>
        <v>LA PRIMA CASA</v>
      </c>
      <c r="E294" t="str">
        <f>IFERROR(__xludf.DUMMYFUNCTION("""COMPUTED_VALUE"""),"TERESA VADALA'")</f>
        <v>TERESA VADALA'</v>
      </c>
      <c r="F294" t="str">
        <f>IFERROR(__xludf.DUMMYFUNCTION("""COMPUTED_VALUE"""),"VIA NAZIONALE 158")</f>
        <v>VIA NAZIONALE 158</v>
      </c>
      <c r="G294" t="str">
        <f>IFERROR(__xludf.DUMMYFUNCTION("""COMPUTED_VALUE"""),"Matera")</f>
        <v>Matera</v>
      </c>
      <c r="H294" t="str">
        <f>IFERROR(__xludf.DUMMYFUNCTION("""COMPUTED_VALUE"""),"Italy")</f>
        <v>Italy</v>
      </c>
      <c r="I294">
        <f>IFERROR(__xludf.DUMMYFUNCTION("""COMPUTED_VALUE"""),4939.0)</f>
        <v>4939</v>
      </c>
      <c r="J294">
        <f>IFERROR(__xludf.DUMMYFUNCTION("""COMPUTED_VALUE"""),4.0)</f>
        <v>4</v>
      </c>
      <c r="K294">
        <f>IFERROR(__xludf.DUMMYFUNCTION("""COMPUTED_VALUE"""),158.0)</f>
        <v>158</v>
      </c>
      <c r="L294" t="str">
        <f>IFERROR(__xludf.DUMMYFUNCTION("""COMPUTED_VALUE"""),"VDLTRS92H45F052F")</f>
        <v>VDLTRS92H45F052F</v>
      </c>
      <c r="M294">
        <f>IFERROR(__xludf.DUMMYFUNCTION("""COMPUTED_VALUE"""),4.0)</f>
        <v>4</v>
      </c>
      <c r="N294">
        <f>IFERROR(__xludf.DUMMYFUNCTION("""COMPUTED_VALUE"""),43213.0)</f>
        <v>43213</v>
      </c>
      <c r="O294" t="str">
        <f>IFERROR(__xludf.DUMMYFUNCTION("""COMPUTED_VALUE"""),"")</f>
        <v/>
      </c>
    </row>
    <row r="295">
      <c r="A295">
        <f>IFERROR(__xludf.DUMMYFUNCTION("""COMPUTED_VALUE"""),40.664441)</f>
        <v>40.664441</v>
      </c>
      <c r="B295">
        <f>IFERROR(__xludf.DUMMYFUNCTION("""COMPUTED_VALUE"""),16.600129)</f>
        <v>16.600129</v>
      </c>
      <c r="C295" t="str">
        <f>IFERROR(__xludf.DUMMYFUNCTION("""COMPUTED_VALUE"""),"Casa Vacanza")</f>
        <v>Casa Vacanza</v>
      </c>
      <c r="D295" t="str">
        <f>IFERROR(__xludf.DUMMYFUNCTION("""COMPUTED_VALUE"""),"LA PRIORA")</f>
        <v>LA PRIORA</v>
      </c>
      <c r="E295" t="str">
        <f>IFERROR(__xludf.DUMMYFUNCTION("""COMPUTED_VALUE"""),"PISCIOTTA MARIA")</f>
        <v>PISCIOTTA MARIA</v>
      </c>
      <c r="F295" t="str">
        <f>IFERROR(__xludf.DUMMYFUNCTION("""COMPUTED_VALUE"""),"VICO III CAPPELLUTI 6")</f>
        <v>VICO III CAPPELLUTI 6</v>
      </c>
      <c r="G295" t="str">
        <f>IFERROR(__xludf.DUMMYFUNCTION("""COMPUTED_VALUE"""),"Matera")</f>
        <v>Matera</v>
      </c>
      <c r="H295" t="str">
        <f>IFERROR(__xludf.DUMMYFUNCTION("""COMPUTED_VALUE"""),"Italy")</f>
        <v>Italy</v>
      </c>
      <c r="I295">
        <f>IFERROR(__xludf.DUMMYFUNCTION("""COMPUTED_VALUE"""),448.0)</f>
        <v>448</v>
      </c>
      <c r="J295">
        <f>IFERROR(__xludf.DUMMYFUNCTION("""COMPUTED_VALUE"""),6.0)</f>
        <v>6</v>
      </c>
      <c r="K295">
        <f>IFERROR(__xludf.DUMMYFUNCTION("""COMPUTED_VALUE"""),71.0)</f>
        <v>71</v>
      </c>
      <c r="L295" t="str">
        <f>IFERROR(__xludf.DUMMYFUNCTION("""COMPUTED_VALUE"""),"PSCRS072L62A662Z")</f>
        <v>PSCRS072L62A662Z</v>
      </c>
      <c r="M295" t="str">
        <f>IFERROR(__xludf.DUMMYFUNCTION("""COMPUTED_VALUE"""),"")</f>
        <v/>
      </c>
      <c r="N295">
        <f>IFERROR(__xludf.DUMMYFUNCTION("""COMPUTED_VALUE"""),42516.0)</f>
        <v>42516</v>
      </c>
      <c r="O295" t="str">
        <f>IFERROR(__xludf.DUMMYFUNCTION("""COMPUTED_VALUE"""),"")</f>
        <v/>
      </c>
    </row>
    <row r="296">
      <c r="A296">
        <f>IFERROR(__xludf.DUMMYFUNCTION("""COMPUTED_VALUE"""),40.6655355)</f>
        <v>40.6655355</v>
      </c>
      <c r="B296">
        <f>IFERROR(__xludf.DUMMYFUNCTION("""COMPUTED_VALUE"""),16.6078779)</f>
        <v>16.6078779</v>
      </c>
      <c r="C296" t="str">
        <f>IFERROR(__xludf.DUMMYFUNCTION("""COMPUTED_VALUE"""),"Casa Vacanza")</f>
        <v>Casa Vacanza</v>
      </c>
      <c r="D296" t="str">
        <f>IFERROR(__xludf.DUMMYFUNCTION("""COMPUTED_VALUE"""),"LA QUINTESSENZA")</f>
        <v>LA QUINTESSENZA</v>
      </c>
      <c r="E296" t="str">
        <f>IFERROR(__xludf.DUMMYFUNCTION("""COMPUTED_VALUE"""),"ANTONELLA PADULA")</f>
        <v>ANTONELLA PADULA</v>
      </c>
      <c r="F296" t="str">
        <f>IFERROR(__xludf.DUMMYFUNCTION("""COMPUTED_VALUE"""),"VIA DEL CORSO 50")</f>
        <v>VIA DEL CORSO 50</v>
      </c>
      <c r="G296" t="str">
        <f>IFERROR(__xludf.DUMMYFUNCTION("""COMPUTED_VALUE"""),"Matera")</f>
        <v>Matera</v>
      </c>
      <c r="H296" t="str">
        <f>IFERROR(__xludf.DUMMYFUNCTION("""COMPUTED_VALUE"""),"Italy")</f>
        <v>Italy</v>
      </c>
      <c r="I296">
        <f>IFERROR(__xludf.DUMMYFUNCTION("""COMPUTED_VALUE"""),3987.0)</f>
        <v>3987</v>
      </c>
      <c r="J296">
        <f>IFERROR(__xludf.DUMMYFUNCTION("""COMPUTED_VALUE"""),12.0)</f>
        <v>12</v>
      </c>
      <c r="K296">
        <f>IFERROR(__xludf.DUMMYFUNCTION("""COMPUTED_VALUE"""),159.0)</f>
        <v>159</v>
      </c>
      <c r="L296" t="str">
        <f>IFERROR(__xludf.DUMMYFUNCTION("""COMPUTED_VALUE"""),"PDLNNL59M70F052O")</f>
        <v>PDLNNL59M70F052O</v>
      </c>
      <c r="M296">
        <f>IFERROR(__xludf.DUMMYFUNCTION("""COMPUTED_VALUE"""),6.0)</f>
        <v>6</v>
      </c>
      <c r="N296">
        <f>IFERROR(__xludf.DUMMYFUNCTION("""COMPUTED_VALUE"""),42836.0)</f>
        <v>42836</v>
      </c>
      <c r="O296">
        <f>IFERROR(__xludf.DUMMYFUNCTION("""COMPUTED_VALUE"""),1925.0)</f>
        <v>1925</v>
      </c>
    </row>
    <row r="297">
      <c r="A297">
        <f>IFERROR(__xludf.DUMMYFUNCTION("""COMPUTED_VALUE"""),40.668913)</f>
        <v>40.668913</v>
      </c>
      <c r="B297">
        <f>IFERROR(__xludf.DUMMYFUNCTION("""COMPUTED_VALUE"""),16.593931)</f>
        <v>16.593931</v>
      </c>
      <c r="C297" t="str">
        <f>IFERROR(__xludf.DUMMYFUNCTION("""COMPUTED_VALUE"""),"Casa Vacanza")</f>
        <v>Casa Vacanza</v>
      </c>
      <c r="D297" t="str">
        <f>IFERROR(__xludf.DUMMYFUNCTION("""COMPUTED_VALUE"""),"LA ROCCA")</f>
        <v>LA ROCCA</v>
      </c>
      <c r="E297" t="str">
        <f>IFERROR(__xludf.DUMMYFUNCTION("""COMPUTED_VALUE"""),"DI LECCE RAFFAELE")</f>
        <v>DI LECCE RAFFAELE</v>
      </c>
      <c r="F297" t="str">
        <f>IFERROR(__xludf.DUMMYFUNCTION("""COMPUTED_VALUE"""),"VIA COLLODI 2")</f>
        <v>VIA COLLODI 2</v>
      </c>
      <c r="G297" t="str">
        <f>IFERROR(__xludf.DUMMYFUNCTION("""COMPUTED_VALUE"""),"Matera")</f>
        <v>Matera</v>
      </c>
      <c r="H297" t="str">
        <f>IFERROR(__xludf.DUMMYFUNCTION("""COMPUTED_VALUE"""),"Italy")</f>
        <v>Italy</v>
      </c>
      <c r="I297" t="str">
        <f>IFERROR(__xludf.DUMMYFUNCTION("""COMPUTED_VALUE"""),"")</f>
        <v/>
      </c>
      <c r="J297" t="str">
        <f>IFERROR(__xludf.DUMMYFUNCTION("""COMPUTED_VALUE"""),"")</f>
        <v/>
      </c>
      <c r="K297" t="str">
        <f>IFERROR(__xludf.DUMMYFUNCTION("""COMPUTED_VALUE"""),"")</f>
        <v/>
      </c>
      <c r="L297" t="str">
        <f>IFERROR(__xludf.DUMMYFUNCTION("""COMPUTED_VALUE"""),"")</f>
        <v/>
      </c>
      <c r="M297" t="str">
        <f>IFERROR(__xludf.DUMMYFUNCTION("""COMPUTED_VALUE"""),"")</f>
        <v/>
      </c>
      <c r="N297" t="str">
        <f>IFERROR(__xludf.DUMMYFUNCTION("""COMPUTED_VALUE"""),"")</f>
        <v/>
      </c>
      <c r="O297" t="str">
        <f>IFERROR(__xludf.DUMMYFUNCTION("""COMPUTED_VALUE"""),"")</f>
        <v/>
      </c>
    </row>
    <row r="298">
      <c r="A298">
        <f>IFERROR(__xludf.DUMMYFUNCTION("""COMPUTED_VALUE"""),40.661447183786)</f>
        <v>40.66144718</v>
      </c>
      <c r="B298">
        <f>IFERROR(__xludf.DUMMYFUNCTION("""COMPUTED_VALUE"""),16.6128798009732)</f>
        <v>16.6128798</v>
      </c>
      <c r="C298" t="str">
        <f>IFERROR(__xludf.DUMMYFUNCTION("""COMPUTED_VALUE"""),"Casa Vacanza")</f>
        <v>Casa Vacanza</v>
      </c>
      <c r="D298" t="str">
        <f>IFERROR(__xludf.DUMMYFUNCTION("""COMPUTED_VALUE"""),"LA RUPE SUI SASSI")</f>
        <v>LA RUPE SUI SASSI</v>
      </c>
      <c r="E298" t="str">
        <f>IFERROR(__xludf.DUMMYFUNCTION("""COMPUTED_VALUE"""),"LEMMA DANIELA")</f>
        <v>LEMMA DANIELA</v>
      </c>
      <c r="F298" t="str">
        <f>IFERROR(__xludf.DUMMYFUNCTION("""COMPUTED_VALUE"""),"VICO PRIMO CASALNUOVO 28")</f>
        <v>VICO PRIMO CASALNUOVO 28</v>
      </c>
      <c r="G298" t="str">
        <f>IFERROR(__xludf.DUMMYFUNCTION("""COMPUTED_VALUE"""),"Matera")</f>
        <v>Matera</v>
      </c>
      <c r="H298" t="str">
        <f>IFERROR(__xludf.DUMMYFUNCTION("""COMPUTED_VALUE"""),"Italy")</f>
        <v>Italy</v>
      </c>
      <c r="I298">
        <f>IFERROR(__xludf.DUMMYFUNCTION("""COMPUTED_VALUE"""),2469.0)</f>
        <v>2469</v>
      </c>
      <c r="J298">
        <f>IFERROR(__xludf.DUMMYFUNCTION("""COMPUTED_VALUE"""),4.0)</f>
        <v>4</v>
      </c>
      <c r="K298">
        <f>IFERROR(__xludf.DUMMYFUNCTION("""COMPUTED_VALUE"""),159.0)</f>
        <v>159</v>
      </c>
      <c r="L298" t="str">
        <f>IFERROR(__xludf.DUMMYFUNCTION("""COMPUTED_VALUE"""),"LMMDNL73M43F052D")</f>
        <v>LMMDNL73M43F052D</v>
      </c>
      <c r="M298">
        <f>IFERROR(__xludf.DUMMYFUNCTION("""COMPUTED_VALUE"""),4.0)</f>
        <v>4</v>
      </c>
      <c r="N298">
        <f>IFERROR(__xludf.DUMMYFUNCTION("""COMPUTED_VALUE"""),43320.0)</f>
        <v>43320</v>
      </c>
      <c r="O298" t="str">
        <f>IFERROR(__xludf.DUMMYFUNCTION("""COMPUTED_VALUE"""),"")</f>
        <v/>
      </c>
    </row>
    <row r="299">
      <c r="A299">
        <f>IFERROR(__xludf.DUMMYFUNCTION("""COMPUTED_VALUE"""),40.664102)</f>
        <v>40.664102</v>
      </c>
      <c r="B299">
        <f>IFERROR(__xludf.DUMMYFUNCTION("""COMPUTED_VALUE"""),16.611126)</f>
        <v>16.611126</v>
      </c>
      <c r="C299" t="str">
        <f>IFERROR(__xludf.DUMMYFUNCTION("""COMPUTED_VALUE"""),"Casa Vacanza")</f>
        <v>Casa Vacanza</v>
      </c>
      <c r="D299" t="str">
        <f>IFERROR(__xludf.DUMMYFUNCTION("""COMPUTED_VALUE"""),"LA SCALA SUITE")</f>
        <v>LA SCALA SUITE</v>
      </c>
      <c r="E299" t="str">
        <f>IFERROR(__xludf.DUMMYFUNCTION("""COMPUTED_VALUE"""),"SCALA GIOVANNA")</f>
        <v>SCALA GIOVANNA</v>
      </c>
      <c r="F299" t="str">
        <f>IFERROR(__xludf.DUMMYFUNCTION("""COMPUTED_VALUE"""),"PONTE SAN PIETRO CAVEOSO 4")</f>
        <v>PONTE SAN PIETRO CAVEOSO 4</v>
      </c>
      <c r="G299" t="str">
        <f>IFERROR(__xludf.DUMMYFUNCTION("""COMPUTED_VALUE"""),"Matera")</f>
        <v>Matera</v>
      </c>
      <c r="H299" t="str">
        <f>IFERROR(__xludf.DUMMYFUNCTION("""COMPUTED_VALUE"""),"Italy")</f>
        <v>Italy</v>
      </c>
      <c r="I299">
        <f>IFERROR(__xludf.DUMMYFUNCTION("""COMPUTED_VALUE"""),2116.0)</f>
        <v>2116</v>
      </c>
      <c r="J299">
        <f>IFERROR(__xludf.DUMMYFUNCTION("""COMPUTED_VALUE"""),3.0)</f>
        <v>3</v>
      </c>
      <c r="K299">
        <f>IFERROR(__xludf.DUMMYFUNCTION("""COMPUTED_VALUE"""),159.0)</f>
        <v>159</v>
      </c>
      <c r="L299" t="str">
        <f>IFERROR(__xludf.DUMMYFUNCTION("""COMPUTED_VALUE"""),"SCLGNN81H48F052D")</f>
        <v>SCLGNN81H48F052D</v>
      </c>
      <c r="M299">
        <f>IFERROR(__xludf.DUMMYFUNCTION("""COMPUTED_VALUE"""),4.0)</f>
        <v>4</v>
      </c>
      <c r="N299">
        <f>IFERROR(__xludf.DUMMYFUNCTION("""COMPUTED_VALUE"""),42831.0)</f>
        <v>42831</v>
      </c>
      <c r="O299">
        <f>IFERROR(__xludf.DUMMYFUNCTION("""COMPUTED_VALUE"""),1249.0)</f>
        <v>1249</v>
      </c>
    </row>
    <row r="300">
      <c r="A300">
        <f>IFERROR(__xludf.DUMMYFUNCTION("""COMPUTED_VALUE"""),40.666982821916)</f>
        <v>40.66698282</v>
      </c>
      <c r="B300">
        <f>IFERROR(__xludf.DUMMYFUNCTION("""COMPUTED_VALUE"""),16.6080463530884)</f>
        <v>16.60804635</v>
      </c>
      <c r="C300" t="str">
        <f>IFERROR(__xludf.DUMMYFUNCTION("""COMPUTED_VALUE"""),"Casa Vacanza")</f>
        <v>Casa Vacanza</v>
      </c>
      <c r="D300" t="str">
        <f>IFERROR(__xludf.DUMMYFUNCTION("""COMPUTED_VALUE"""),"LA SCARICATA")</f>
        <v>LA SCARICATA</v>
      </c>
      <c r="E300" t="str">
        <f>IFERROR(__xludf.DUMMYFUNCTION("""COMPUTED_VALUE"""),"RUGGIERI GENNARO")</f>
        <v>RUGGIERI GENNARO</v>
      </c>
      <c r="F300" t="str">
        <f>IFERROR(__xludf.DUMMYFUNCTION("""COMPUTED_VALUE"""),"VIA VECCHIE FORNACI 11")</f>
        <v>VIA VECCHIE FORNACI 11</v>
      </c>
      <c r="G300" t="str">
        <f>IFERROR(__xludf.DUMMYFUNCTION("""COMPUTED_VALUE"""),"Matera")</f>
        <v>Matera</v>
      </c>
      <c r="H300" t="str">
        <f>IFERROR(__xludf.DUMMYFUNCTION("""COMPUTED_VALUE"""),"Italy")</f>
        <v>Italy</v>
      </c>
      <c r="I300">
        <f>IFERROR(__xludf.DUMMYFUNCTION("""COMPUTED_VALUE"""),580.0)</f>
        <v>580</v>
      </c>
      <c r="J300">
        <f>IFERROR(__xludf.DUMMYFUNCTION("""COMPUTED_VALUE"""),5.0)</f>
        <v>5</v>
      </c>
      <c r="K300">
        <f>IFERROR(__xludf.DUMMYFUNCTION("""COMPUTED_VALUE"""),159.0)</f>
        <v>159</v>
      </c>
      <c r="L300" t="str">
        <f>IFERROR(__xludf.DUMMYFUNCTION("""COMPUTED_VALUE"""),"RGGGNR65E09F052I")</f>
        <v>RGGGNR65E09F052I</v>
      </c>
      <c r="M300">
        <f>IFERROR(__xludf.DUMMYFUNCTION("""COMPUTED_VALUE"""),1.0)</f>
        <v>1</v>
      </c>
      <c r="N300">
        <f>IFERROR(__xludf.DUMMYFUNCTION("""COMPUTED_VALUE"""),42930.0)</f>
        <v>42930</v>
      </c>
      <c r="O300" t="str">
        <f>IFERROR(__xludf.DUMMYFUNCTION("""COMPUTED_VALUE"""),"")</f>
        <v/>
      </c>
    </row>
    <row r="301">
      <c r="A301">
        <f>IFERROR(__xludf.DUMMYFUNCTION("""COMPUTED_VALUE"""),40.6710931)</f>
        <v>40.6710931</v>
      </c>
      <c r="B301">
        <f>IFERROR(__xludf.DUMMYFUNCTION("""COMPUTED_VALUE"""),16.6086155)</f>
        <v>16.6086155</v>
      </c>
      <c r="C301" t="str">
        <f>IFERROR(__xludf.DUMMYFUNCTION("""COMPUTED_VALUE"""),"Casa Vacanza")</f>
        <v>Casa Vacanza</v>
      </c>
      <c r="D301" t="str">
        <f>IFERROR(__xludf.DUMMYFUNCTION("""COMPUTED_VALUE"""),"LA STUFETTA")</f>
        <v>LA STUFETTA</v>
      </c>
      <c r="E301" t="str">
        <f>IFERROR(__xludf.DUMMYFUNCTION("""COMPUTED_VALUE"""),"DI CUIA ANNA MARIA")</f>
        <v>DI CUIA ANNA MARIA</v>
      </c>
      <c r="F301" t="str">
        <f>IFERROR(__xludf.DUMMYFUNCTION("""COMPUTED_VALUE"""),"VIA SANTO STEFANO 77")</f>
        <v>VIA SANTO STEFANO 77</v>
      </c>
      <c r="G301" t="str">
        <f>IFERROR(__xludf.DUMMYFUNCTION("""COMPUTED_VALUE"""),"Matera")</f>
        <v>Matera</v>
      </c>
      <c r="H301" t="str">
        <f>IFERROR(__xludf.DUMMYFUNCTION("""COMPUTED_VALUE"""),"Italy")</f>
        <v>Italy</v>
      </c>
      <c r="I301">
        <f>IFERROR(__xludf.DUMMYFUNCTION("""COMPUTED_VALUE"""),3716.0)</f>
        <v>3716</v>
      </c>
      <c r="J301">
        <f>IFERROR(__xludf.DUMMYFUNCTION("""COMPUTED_VALUE"""),1.0)</f>
        <v>1</v>
      </c>
      <c r="K301">
        <f>IFERROR(__xludf.DUMMYFUNCTION("""COMPUTED_VALUE"""),159.0)</f>
        <v>159</v>
      </c>
      <c r="L301" t="str">
        <f>IFERROR(__xludf.DUMMYFUNCTION("""COMPUTED_VALUE"""),"DCINMR72L65A225I")</f>
        <v>DCINMR72L65A225I</v>
      </c>
      <c r="M301">
        <f>IFERROR(__xludf.DUMMYFUNCTION("""COMPUTED_VALUE"""),4.0)</f>
        <v>4</v>
      </c>
      <c r="N301">
        <f>IFERROR(__xludf.DUMMYFUNCTION("""COMPUTED_VALUE"""),42313.0)</f>
        <v>42313</v>
      </c>
      <c r="O301" t="str">
        <f>IFERROR(__xludf.DUMMYFUNCTION("""COMPUTED_VALUE"""),"")</f>
        <v/>
      </c>
    </row>
    <row r="302">
      <c r="A302">
        <f>IFERROR(__xludf.DUMMYFUNCTION("""COMPUTED_VALUE"""),40.6611792100518)</f>
        <v>40.66117921</v>
      </c>
      <c r="B302">
        <f>IFERROR(__xludf.DUMMYFUNCTION("""COMPUTED_VALUE"""),16.612992228003)</f>
        <v>16.61299223</v>
      </c>
      <c r="C302" t="str">
        <f>IFERROR(__xludf.DUMMYFUNCTION("""COMPUTED_VALUE"""),"Casa Vacanza")</f>
        <v>Casa Vacanza</v>
      </c>
      <c r="D302" t="str">
        <f>IFERROR(__xludf.DUMMYFUNCTION("""COMPUTED_VALUE"""),"LA SUITE DELLE STELLE")</f>
        <v>LA SUITE DELLE STELLE</v>
      </c>
      <c r="E302" t="str">
        <f>IFERROR(__xludf.DUMMYFUNCTION("""COMPUTED_VALUE"""),"STELLA GIOVANNI")</f>
        <v>STELLA GIOVANNI</v>
      </c>
      <c r="F302" t="str">
        <f>IFERROR(__xludf.DUMMYFUNCTION("""COMPUTED_VALUE"""),"VICO PRIMO DI VIA CASALNUOVO 41")</f>
        <v>VICO PRIMO DI VIA CASALNUOVO 41</v>
      </c>
      <c r="G302" t="str">
        <f>IFERROR(__xludf.DUMMYFUNCTION("""COMPUTED_VALUE"""),"Matera")</f>
        <v>Matera</v>
      </c>
      <c r="H302" t="str">
        <f>IFERROR(__xludf.DUMMYFUNCTION("""COMPUTED_VALUE"""),"Italy")</f>
        <v>Italy</v>
      </c>
      <c r="I302">
        <f>IFERROR(__xludf.DUMMYFUNCTION("""COMPUTED_VALUE"""),2464.0)</f>
        <v>2464</v>
      </c>
      <c r="J302">
        <f>IFERROR(__xludf.DUMMYFUNCTION("""COMPUTED_VALUE"""),7.0)</f>
        <v>7</v>
      </c>
      <c r="K302">
        <f>IFERROR(__xludf.DUMMYFUNCTION("""COMPUTED_VALUE"""),159.0)</f>
        <v>159</v>
      </c>
      <c r="L302" t="str">
        <f>IFERROR(__xludf.DUMMYFUNCTION("""COMPUTED_VALUE"""),"STLGNN80R20F052Q")</f>
        <v>STLGNN80R20F052Q</v>
      </c>
      <c r="M302">
        <f>IFERROR(__xludf.DUMMYFUNCTION("""COMPUTED_VALUE"""),4.0)</f>
        <v>4</v>
      </c>
      <c r="N302">
        <f>IFERROR(__xludf.DUMMYFUNCTION("""COMPUTED_VALUE"""),43331.0)</f>
        <v>43331</v>
      </c>
      <c r="O302" t="str">
        <f>IFERROR(__xludf.DUMMYFUNCTION("""COMPUTED_VALUE"""),"")</f>
        <v/>
      </c>
    </row>
    <row r="303">
      <c r="A303">
        <f>IFERROR(__xludf.DUMMYFUNCTION("""COMPUTED_VALUE"""),40.6642086)</f>
        <v>40.6642086</v>
      </c>
      <c r="B303">
        <f>IFERROR(__xludf.DUMMYFUNCTION("""COMPUTED_VALUE"""),16.6111538)</f>
        <v>16.6111538</v>
      </c>
      <c r="C303" t="str">
        <f>IFERROR(__xludf.DUMMYFUNCTION("""COMPUTED_VALUE"""),"Casa Vacanza")</f>
        <v>Casa Vacanza</v>
      </c>
      <c r="D303" t="str">
        <f>IFERROR(__xludf.DUMMYFUNCTION("""COMPUTED_VALUE"""),"LA SUITE NEI SASSI")</f>
        <v>LA SUITE NEI SASSI</v>
      </c>
      <c r="E303" t="str">
        <f>IFERROR(__xludf.DUMMYFUNCTION("""COMPUTED_VALUE"""),"NEGRO GIUSEPPE")</f>
        <v>NEGRO GIUSEPPE</v>
      </c>
      <c r="F303" t="str">
        <f>IFERROR(__xludf.DUMMYFUNCTION("""COMPUTED_VALUE"""),"VIA SAN PIETRO CAVEOSO 5")</f>
        <v>VIA SAN PIETRO CAVEOSO 5</v>
      </c>
      <c r="G303" t="str">
        <f>IFERROR(__xludf.DUMMYFUNCTION("""COMPUTED_VALUE"""),"Matera")</f>
        <v>Matera</v>
      </c>
      <c r="H303" t="str">
        <f>IFERROR(__xludf.DUMMYFUNCTION("""COMPUTED_VALUE"""),"Italy")</f>
        <v>Italy</v>
      </c>
      <c r="I303">
        <f>IFERROR(__xludf.DUMMYFUNCTION("""COMPUTED_VALUE"""),1815.0)</f>
        <v>1815</v>
      </c>
      <c r="J303">
        <f>IFERROR(__xludf.DUMMYFUNCTION("""COMPUTED_VALUE"""),2.0)</f>
        <v>2</v>
      </c>
      <c r="K303">
        <f>IFERROR(__xludf.DUMMYFUNCTION("""COMPUTED_VALUE"""),159.0)</f>
        <v>159</v>
      </c>
      <c r="L303" t="str">
        <f>IFERROR(__xludf.DUMMYFUNCTION("""COMPUTED_VALUE"""),"NGRGPP74H15E038H")</f>
        <v>NGRGPP74H15E038H</v>
      </c>
      <c r="M303">
        <f>IFERROR(__xludf.DUMMYFUNCTION("""COMPUTED_VALUE"""),2.0)</f>
        <v>2</v>
      </c>
      <c r="N303">
        <f>IFERROR(__xludf.DUMMYFUNCTION("""COMPUTED_VALUE"""),42733.0)</f>
        <v>42733</v>
      </c>
      <c r="O303" t="str">
        <f>IFERROR(__xludf.DUMMYFUNCTION("""COMPUTED_VALUE"""),"")</f>
        <v/>
      </c>
    </row>
    <row r="304">
      <c r="A304">
        <f>IFERROR(__xludf.DUMMYFUNCTION("""COMPUTED_VALUE"""),40.6430026)</f>
        <v>40.6430026</v>
      </c>
      <c r="B304">
        <f>IFERROR(__xludf.DUMMYFUNCTION("""COMPUTED_VALUE"""),16.6244063)</f>
        <v>16.6244063</v>
      </c>
      <c r="C304" t="str">
        <f>IFERROR(__xludf.DUMMYFUNCTION("""COMPUTED_VALUE"""),"Casa Vacanza")</f>
        <v>Casa Vacanza</v>
      </c>
      <c r="D304" t="str">
        <f>IFERROR(__xludf.DUMMYFUNCTION("""COMPUTED_VALUE"""),"LA TAVERNETTA")</f>
        <v>LA TAVERNETTA</v>
      </c>
      <c r="E304" t="str">
        <f>IFERROR(__xludf.DUMMYFUNCTION("""COMPUTED_VALUE"""),"AMBROSECCHIA GINA")</f>
        <v>AMBROSECCHIA GINA</v>
      </c>
      <c r="F304" t="str">
        <f>IFERROR(__xludf.DUMMYFUNCTION("""COMPUTED_VALUE"""),"VIA T.RICCIARDI 59")</f>
        <v>VIA T.RICCIARDI 59</v>
      </c>
      <c r="G304" t="str">
        <f>IFERROR(__xludf.DUMMYFUNCTION("""COMPUTED_VALUE"""),"Matera")</f>
        <v>Matera</v>
      </c>
      <c r="H304" t="str">
        <f>IFERROR(__xludf.DUMMYFUNCTION("""COMPUTED_VALUE"""),"Italy")</f>
        <v>Italy</v>
      </c>
      <c r="I304">
        <f>IFERROR(__xludf.DUMMYFUNCTION("""COMPUTED_VALUE"""),338.0)</f>
        <v>338</v>
      </c>
      <c r="J304">
        <f>IFERROR(__xludf.DUMMYFUNCTION("""COMPUTED_VALUE"""),2.0)</f>
        <v>2</v>
      </c>
      <c r="K304">
        <f>IFERROR(__xludf.DUMMYFUNCTION("""COMPUTED_VALUE"""),114.0)</f>
        <v>114</v>
      </c>
      <c r="L304" t="str">
        <f>IFERROR(__xludf.DUMMYFUNCTION("""COMPUTED_VALUE"""),"MBRGNI55L50F052B")</f>
        <v>MBRGNI55L50F052B</v>
      </c>
      <c r="M304">
        <f>IFERROR(__xludf.DUMMYFUNCTION("""COMPUTED_VALUE"""),2.0)</f>
        <v>2</v>
      </c>
      <c r="N304">
        <f>IFERROR(__xludf.DUMMYFUNCTION("""COMPUTED_VALUE"""),42500.0)</f>
        <v>42500</v>
      </c>
      <c r="O304" t="str">
        <f>IFERROR(__xludf.DUMMYFUNCTION("""COMPUTED_VALUE"""),"")</f>
        <v/>
      </c>
    </row>
    <row r="305">
      <c r="A305">
        <f>IFERROR(__xludf.DUMMYFUNCTION("""COMPUTED_VALUE"""),40.666379)</f>
        <v>40.666379</v>
      </c>
      <c r="B305">
        <f>IFERROR(__xludf.DUMMYFUNCTION("""COMPUTED_VALUE"""),16.6043199)</f>
        <v>16.6043199</v>
      </c>
      <c r="C305" t="str">
        <f>IFERROR(__xludf.DUMMYFUNCTION("""COMPUTED_VALUE"""),"Casa Vacanza")</f>
        <v>Casa Vacanza</v>
      </c>
      <c r="D305" t="str">
        <f>IFERROR(__xludf.DUMMYFUNCTION("""COMPUTED_VALUE"""),"LA TERESINA HOLIDAY HOMESNOA LUCIANA TRALLI &amp;C SASVIA CASALNUOVO 221- 41-42")</f>
        <v>LA TERESINA HOLIDAY HOMESNOA LUCIANA TRALLI &amp;C SASVIA CASALNUOVO 221- 41-42</v>
      </c>
      <c r="E305" t="str">
        <f>IFERROR(__xludf.DUMMYFUNCTION("""COMPUTED_VALUE"""),"")</f>
        <v/>
      </c>
      <c r="F305" t="str">
        <f>IFERROR(__xludf.DUMMYFUNCTION("""COMPUTED_VALUE"""),"")</f>
        <v/>
      </c>
      <c r="G305" t="str">
        <f>IFERROR(__xludf.DUMMYFUNCTION("""COMPUTED_VALUE"""),"Matera")</f>
        <v>Matera</v>
      </c>
      <c r="H305" t="str">
        <f>IFERROR(__xludf.DUMMYFUNCTION("""COMPUTED_VALUE"""),"Italy")</f>
        <v>Italy</v>
      </c>
      <c r="I305">
        <f>IFERROR(__xludf.DUMMYFUNCTION("""COMPUTED_VALUE"""),2530.0)</f>
        <v>2530</v>
      </c>
      <c r="J305">
        <f>IFERROR(__xludf.DUMMYFUNCTION("""COMPUTED_VALUE"""),3.0)</f>
        <v>3</v>
      </c>
      <c r="K305">
        <f>IFERROR(__xludf.DUMMYFUNCTION("""COMPUTED_VALUE"""),159.0)</f>
        <v>159</v>
      </c>
      <c r="L305" t="str">
        <f>IFERROR(__xludf.DUMMYFUNCTION("""COMPUTED_VALUE"""),"TRLLCN88E69A662X")</f>
        <v>TRLLCN88E69A662X</v>
      </c>
      <c r="M305">
        <f>IFERROR(__xludf.DUMMYFUNCTION("""COMPUTED_VALUE"""),6.0)</f>
        <v>6</v>
      </c>
      <c r="N305">
        <f>IFERROR(__xludf.DUMMYFUNCTION("""COMPUTED_VALUE"""),42732.0)</f>
        <v>42732</v>
      </c>
      <c r="O305" t="str">
        <f>IFERROR(__xludf.DUMMYFUNCTION("""COMPUTED_VALUE"""),"")</f>
        <v/>
      </c>
    </row>
    <row r="306">
      <c r="A306">
        <f>IFERROR(__xludf.DUMMYFUNCTION("""COMPUTED_VALUE"""),40.6681215434786)</f>
        <v>40.66812154</v>
      </c>
      <c r="B306">
        <f>IFERROR(__xludf.DUMMYFUNCTION("""COMPUTED_VALUE"""),16.6074141052228)</f>
        <v>16.60741411</v>
      </c>
      <c r="C306" t="str">
        <f>IFERROR(__xludf.DUMMYFUNCTION("""COMPUTED_VALUE"""),"Casa Vacanza")</f>
        <v>Casa Vacanza</v>
      </c>
      <c r="D306" t="str">
        <f>IFERROR(__xludf.DUMMYFUNCTION("""COMPUTED_VALUE"""),"LA TERRA DEI BRIGANTI")</f>
        <v>LA TERRA DEI BRIGANTI</v>
      </c>
      <c r="E306" t="str">
        <f>IFERROR(__xludf.DUMMYFUNCTION("""COMPUTED_VALUE"""),"ANNA GREGO")</f>
        <v>ANNA GREGO</v>
      </c>
      <c r="F306" t="str">
        <f>IFERROR(__xludf.DUMMYFUNCTION("""COMPUTED_VALUE"""),"VICO VIA XX SETTEMBRE 29")</f>
        <v>VICO VIA XX SETTEMBRE 29</v>
      </c>
      <c r="G306" t="str">
        <f>IFERROR(__xludf.DUMMYFUNCTION("""COMPUTED_VALUE"""),"Matera")</f>
        <v>Matera</v>
      </c>
      <c r="H306" t="str">
        <f>IFERROR(__xludf.DUMMYFUNCTION("""COMPUTED_VALUE"""),"Italy")</f>
        <v>Italy</v>
      </c>
      <c r="I306">
        <f>IFERROR(__xludf.DUMMYFUNCTION("""COMPUTED_VALUE"""),3549.0)</f>
        <v>3549</v>
      </c>
      <c r="J306">
        <f>IFERROR(__xludf.DUMMYFUNCTION("""COMPUTED_VALUE"""),6.0)</f>
        <v>6</v>
      </c>
      <c r="K306">
        <f>IFERROR(__xludf.DUMMYFUNCTION("""COMPUTED_VALUE"""),159.0)</f>
        <v>159</v>
      </c>
      <c r="L306" t="str">
        <f>IFERROR(__xludf.DUMMYFUNCTION("""COMPUTED_VALUE"""),"GRGNNA89E45L109K")</f>
        <v>GRGNNA89E45L109K</v>
      </c>
      <c r="M306">
        <f>IFERROR(__xludf.DUMMYFUNCTION("""COMPUTED_VALUE"""),2.0)</f>
        <v>2</v>
      </c>
      <c r="N306">
        <f>IFERROR(__xludf.DUMMYFUNCTION("""COMPUTED_VALUE"""),42522.0)</f>
        <v>42522</v>
      </c>
      <c r="O306" t="str">
        <f>IFERROR(__xludf.DUMMYFUNCTION("""COMPUTED_VALUE"""),"")</f>
        <v/>
      </c>
    </row>
    <row r="307">
      <c r="A307">
        <f>IFERROR(__xludf.DUMMYFUNCTION("""COMPUTED_VALUE"""),40.6689394)</f>
        <v>40.6689394</v>
      </c>
      <c r="B307">
        <f>IFERROR(__xludf.DUMMYFUNCTION("""COMPUTED_VALUE"""),16.6078134)</f>
        <v>16.6078134</v>
      </c>
      <c r="C307" t="str">
        <f>IFERROR(__xludf.DUMMYFUNCTION("""COMPUTED_VALUE"""),"Casa Vacanza")</f>
        <v>Casa Vacanza</v>
      </c>
      <c r="D307" t="str">
        <f>IFERROR(__xludf.DUMMYFUNCTION("""COMPUTED_VALUE"""),"LA VILLA")</f>
        <v>LA VILLA</v>
      </c>
      <c r="E307" t="str">
        <f>IFERROR(__xludf.DUMMYFUNCTION("""COMPUTED_VALUE"""),"FRACCALVIERI MARIA ROSARIA")</f>
        <v>FRACCALVIERI MARIA ROSARIA</v>
      </c>
      <c r="F307" t="str">
        <f>IFERROR(__xludf.DUMMYFUNCTION("""COMPUTED_VALUE"""),"VIA TOMMASO STIGLIANI 37")</f>
        <v>VIA TOMMASO STIGLIANI 37</v>
      </c>
      <c r="G307" t="str">
        <f>IFERROR(__xludf.DUMMYFUNCTION("""COMPUTED_VALUE"""),"Matera")</f>
        <v>Matera</v>
      </c>
      <c r="H307" t="str">
        <f>IFERROR(__xludf.DUMMYFUNCTION("""COMPUTED_VALUE"""),"Italy")</f>
        <v>Italy</v>
      </c>
      <c r="I307">
        <f>IFERROR(__xludf.DUMMYFUNCTION("""COMPUTED_VALUE"""),4096.0)</f>
        <v>4096</v>
      </c>
      <c r="J307">
        <f>IFERROR(__xludf.DUMMYFUNCTION("""COMPUTED_VALUE"""),29.0)</f>
        <v>29</v>
      </c>
      <c r="K307">
        <f>IFERROR(__xludf.DUMMYFUNCTION("""COMPUTED_VALUE"""),159.0)</f>
        <v>159</v>
      </c>
      <c r="L307" t="str">
        <f>IFERROR(__xludf.DUMMYFUNCTION("""COMPUTED_VALUE"""),"FRCMRS67P62F052V")</f>
        <v>FRCMRS67P62F052V</v>
      </c>
      <c r="M307">
        <f>IFERROR(__xludf.DUMMYFUNCTION("""COMPUTED_VALUE"""),6.0)</f>
        <v>6</v>
      </c>
      <c r="N307" t="str">
        <f>IFERROR(__xludf.DUMMYFUNCTION("""COMPUTED_VALUE"""),"")</f>
        <v/>
      </c>
      <c r="O307" t="str">
        <f>IFERROR(__xludf.DUMMYFUNCTION("""COMPUTED_VALUE"""),"")</f>
        <v/>
      </c>
    </row>
    <row r="308">
      <c r="A308">
        <f>IFERROR(__xludf.DUMMYFUNCTION("""COMPUTED_VALUE"""),40.6710466716095)</f>
        <v>40.67104667</v>
      </c>
      <c r="B308">
        <f>IFERROR(__xludf.DUMMYFUNCTION("""COMPUTED_VALUE"""),16.6093366028069)</f>
        <v>16.6093366</v>
      </c>
      <c r="C308" t="str">
        <f>IFERROR(__xludf.DUMMYFUNCTION("""COMPUTED_VALUE"""),"Casa Vacanza")</f>
        <v>Casa Vacanza</v>
      </c>
      <c r="D308" t="str">
        <f>IFERROR(__xludf.DUMMYFUNCTION("""COMPUTED_VALUE"""),"LAMIAMATERA11")</f>
        <v>LAMIAMATERA11</v>
      </c>
      <c r="E308" t="str">
        <f>IFERROR(__xludf.DUMMYFUNCTION("""COMPUTED_VALUE"""),"MARAGNOEUSTACHIO")</f>
        <v>MARAGNOEUSTACHIO</v>
      </c>
      <c r="F308" t="str">
        <f>IFERROR(__xludf.DUMMYFUNCTION("""COMPUTED_VALUE"""),"VIA D'ADDOZIO 11")</f>
        <v>VIA D'ADDOZIO 11</v>
      </c>
      <c r="G308" t="str">
        <f>IFERROR(__xludf.DUMMYFUNCTION("""COMPUTED_VALUE"""),"Matera")</f>
        <v>Matera</v>
      </c>
      <c r="H308" t="str">
        <f>IFERROR(__xludf.DUMMYFUNCTION("""COMPUTED_VALUE"""),"Italy")</f>
        <v>Italy</v>
      </c>
      <c r="I308">
        <f>IFERROR(__xludf.DUMMYFUNCTION("""COMPUTED_VALUE"""),3834.0)</f>
        <v>3834</v>
      </c>
      <c r="J308">
        <f>IFERROR(__xludf.DUMMYFUNCTION("""COMPUTED_VALUE"""),4.0)</f>
        <v>4</v>
      </c>
      <c r="K308">
        <f>IFERROR(__xludf.DUMMYFUNCTION("""COMPUTED_VALUE"""),159.0)</f>
        <v>159</v>
      </c>
      <c r="L308" t="str">
        <f>IFERROR(__xludf.DUMMYFUNCTION("""COMPUTED_VALUE"""),"MRGSCH69E24F052K")</f>
        <v>MRGSCH69E24F052K</v>
      </c>
      <c r="M308">
        <f>IFERROR(__xludf.DUMMYFUNCTION("""COMPUTED_VALUE"""),6.0)</f>
        <v>6</v>
      </c>
      <c r="N308">
        <f>IFERROR(__xludf.DUMMYFUNCTION("""COMPUTED_VALUE"""),43358.0)</f>
        <v>43358</v>
      </c>
      <c r="O308" t="str">
        <f>IFERROR(__xludf.DUMMYFUNCTION("""COMPUTED_VALUE"""),"")</f>
        <v/>
      </c>
    </row>
    <row r="309">
      <c r="A309">
        <f>IFERROR(__xludf.DUMMYFUNCTION("""COMPUTED_VALUE"""),40.6723579406931)</f>
        <v>40.67235794</v>
      </c>
      <c r="B309">
        <f>IFERROR(__xludf.DUMMYFUNCTION("""COMPUTED_VALUE"""),16.6076575867774)</f>
        <v>16.60765759</v>
      </c>
      <c r="C309" t="str">
        <f>IFERROR(__xludf.DUMMYFUNCTION("""COMPUTED_VALUE"""),"Casa Vacanza")</f>
        <v>Casa Vacanza</v>
      </c>
      <c r="D309" t="str">
        <f>IFERROR(__xludf.DUMMYFUNCTION("""COMPUTED_VALUE"""),"LAURA BATTISTA")</f>
        <v>LAURA BATTISTA</v>
      </c>
      <c r="E309" t="str">
        <f>IFERROR(__xludf.DUMMYFUNCTION("""COMPUTED_VALUE"""),"QUAGLIARIELLO ANGELA")</f>
        <v>QUAGLIARIELLO ANGELA</v>
      </c>
      <c r="F309" t="str">
        <f>IFERROR(__xludf.DUMMYFUNCTION("""COMPUTED_VALUE"""),"VIA LAURA BATTISTA 12")</f>
        <v>VIA LAURA BATTISTA 12</v>
      </c>
      <c r="G309" t="str">
        <f>IFERROR(__xludf.DUMMYFUNCTION("""COMPUTED_VALUE"""),"Matera")</f>
        <v>Matera</v>
      </c>
      <c r="H309" t="str">
        <f>IFERROR(__xludf.DUMMYFUNCTION("""COMPUTED_VALUE"""),"Italy")</f>
        <v>Italy</v>
      </c>
      <c r="I309">
        <f>IFERROR(__xludf.DUMMYFUNCTION("""COMPUTED_VALUE"""),3704.0)</f>
        <v>3704</v>
      </c>
      <c r="J309">
        <f>IFERROR(__xludf.DUMMYFUNCTION("""COMPUTED_VALUE"""),2.0)</f>
        <v>2</v>
      </c>
      <c r="K309">
        <f>IFERROR(__xludf.DUMMYFUNCTION("""COMPUTED_VALUE"""),159.0)</f>
        <v>159</v>
      </c>
      <c r="L309" t="str">
        <f>IFERROR(__xludf.DUMMYFUNCTION("""COMPUTED_VALUE"""),"QGLNGL69B51F052W")</f>
        <v>QGLNGL69B51F052W</v>
      </c>
      <c r="M309">
        <f>IFERROR(__xludf.DUMMYFUNCTION("""COMPUTED_VALUE"""),4.0)</f>
        <v>4</v>
      </c>
      <c r="N309">
        <f>IFERROR(__xludf.DUMMYFUNCTION("""COMPUTED_VALUE"""),42423.0)</f>
        <v>42423</v>
      </c>
      <c r="O309" t="str">
        <f>IFERROR(__xludf.DUMMYFUNCTION("""COMPUTED_VALUE"""),"")</f>
        <v/>
      </c>
    </row>
    <row r="310">
      <c r="A310">
        <f>IFERROR(__xludf.DUMMYFUNCTION("""COMPUTED_VALUE"""),40.6665076)</f>
        <v>40.6665076</v>
      </c>
      <c r="B310">
        <f>IFERROR(__xludf.DUMMYFUNCTION("""COMPUTED_VALUE"""),16.6113147)</f>
        <v>16.6113147</v>
      </c>
      <c r="C310" t="str">
        <f>IFERROR(__xludf.DUMMYFUNCTION("""COMPUTED_VALUE"""),"Casa Vacanza")</f>
        <v>Casa Vacanza</v>
      </c>
      <c r="D310" t="str">
        <f>IFERROR(__xludf.DUMMYFUNCTION("""COMPUTED_VALUE"""),"LE ANTICHE CASE DI MARTINA")</f>
        <v>LE ANTICHE CASE DI MARTINA</v>
      </c>
      <c r="E310" t="str">
        <f>IFERROR(__xludf.DUMMYFUNCTION("""COMPUTED_VALUE"""),"MORELLI MICHELE")</f>
        <v>MORELLI MICHELE</v>
      </c>
      <c r="F310" t="str">
        <f>IFERROR(__xludf.DUMMYFUNCTION("""COMPUTED_VALUE"""),"VIA RISCATTO 2")</f>
        <v>VIA RISCATTO 2</v>
      </c>
      <c r="G310" t="str">
        <f>IFERROR(__xludf.DUMMYFUNCTION("""COMPUTED_VALUE"""),"Matera")</f>
        <v>Matera</v>
      </c>
      <c r="H310" t="str">
        <f>IFERROR(__xludf.DUMMYFUNCTION("""COMPUTED_VALUE"""),"Italy")</f>
        <v>Italy</v>
      </c>
      <c r="I310">
        <f>IFERROR(__xludf.DUMMYFUNCTION("""COMPUTED_VALUE"""),1124.0)</f>
        <v>1124</v>
      </c>
      <c r="J310" t="str">
        <f>IFERROR(__xludf.DUMMYFUNCTION("""COMPUTED_VALUE"""),"")</f>
        <v/>
      </c>
      <c r="K310">
        <f>IFERROR(__xludf.DUMMYFUNCTION("""COMPUTED_VALUE"""),159.0)</f>
        <v>159</v>
      </c>
      <c r="L310" t="str">
        <f>IFERROR(__xludf.DUMMYFUNCTION("""COMPUTED_VALUE"""),"MRLMHL57R27225Q")</f>
        <v>MRLMHL57R27225Q</v>
      </c>
      <c r="M310">
        <f>IFERROR(__xludf.DUMMYFUNCTION("""COMPUTED_VALUE"""),5.0)</f>
        <v>5</v>
      </c>
      <c r="N310">
        <f>IFERROR(__xludf.DUMMYFUNCTION("""COMPUTED_VALUE"""),42037.0)</f>
        <v>42037</v>
      </c>
      <c r="O310" t="str">
        <f>IFERROR(__xludf.DUMMYFUNCTION("""COMPUTED_VALUE"""),"")</f>
        <v/>
      </c>
    </row>
    <row r="311">
      <c r="A311">
        <f>IFERROR(__xludf.DUMMYFUNCTION("""COMPUTED_VALUE"""),40.6758470199333)</f>
        <v>40.67584702</v>
      </c>
      <c r="B311">
        <f>IFERROR(__xludf.DUMMYFUNCTION("""COMPUTED_VALUE"""),16.5977595126867)</f>
        <v>16.59775951</v>
      </c>
      <c r="C311" t="str">
        <f>IFERROR(__xludf.DUMMYFUNCTION("""COMPUTED_VALUE"""),"Casa Vacanza")</f>
        <v>Casa Vacanza</v>
      </c>
      <c r="D311" t="str">
        <f>IFERROR(__xludf.DUMMYFUNCTION("""COMPUTED_VALUE"""),"LE ARCATE")</f>
        <v>LE ARCATE</v>
      </c>
      <c r="E311" t="str">
        <f>IFERROR(__xludf.DUMMYFUNCTION("""COMPUTED_VALUE"""),"DUNI ANTONIO")</f>
        <v>DUNI ANTONIO</v>
      </c>
      <c r="F311" t="str">
        <f>IFERROR(__xludf.DUMMYFUNCTION("""COMPUTED_VALUE"""),"RECINTO DE VITO PIANO TERRA")</f>
        <v>RECINTO DE VITO PIANO TERRA</v>
      </c>
      <c r="G311" t="str">
        <f>IFERROR(__xludf.DUMMYFUNCTION("""COMPUTED_VALUE"""),"Matera")</f>
        <v>Matera</v>
      </c>
      <c r="H311" t="str">
        <f>IFERROR(__xludf.DUMMYFUNCTION("""COMPUTED_VALUE"""),"Italy")</f>
        <v>Italy</v>
      </c>
      <c r="I311">
        <f>IFERROR(__xludf.DUMMYFUNCTION("""COMPUTED_VALUE"""),4688.0)</f>
        <v>4688</v>
      </c>
      <c r="J311">
        <f>IFERROR(__xludf.DUMMYFUNCTION("""COMPUTED_VALUE"""),22.0)</f>
        <v>22</v>
      </c>
      <c r="K311">
        <f>IFERROR(__xludf.DUMMYFUNCTION("""COMPUTED_VALUE"""),159.0)</f>
        <v>159</v>
      </c>
      <c r="L311" t="str">
        <f>IFERROR(__xludf.DUMMYFUNCTION("""COMPUTED_VALUE"""),"DNUNTN56S18F052N")</f>
        <v>DNUNTN56S18F052N</v>
      </c>
      <c r="M311">
        <f>IFERROR(__xludf.DUMMYFUNCTION("""COMPUTED_VALUE"""),2.0)</f>
        <v>2</v>
      </c>
      <c r="N311">
        <f>IFERROR(__xludf.DUMMYFUNCTION("""COMPUTED_VALUE"""),42570.0)</f>
        <v>42570</v>
      </c>
      <c r="O311">
        <f>IFERROR(__xludf.DUMMYFUNCTION("""COMPUTED_VALUE"""),1309.0)</f>
        <v>1309</v>
      </c>
    </row>
    <row r="312">
      <c r="A312">
        <f>IFERROR(__xludf.DUMMYFUNCTION("""COMPUTED_VALUE"""),40.6721626918713)</f>
        <v>40.67216269</v>
      </c>
      <c r="B312">
        <f>IFERROR(__xludf.DUMMYFUNCTION("""COMPUTED_VALUE"""),16.6058033132381)</f>
        <v>16.60580331</v>
      </c>
      <c r="C312" t="str">
        <f>IFERROR(__xludf.DUMMYFUNCTION("""COMPUTED_VALUE"""),"Casa Vacanza")</f>
        <v>Casa Vacanza</v>
      </c>
      <c r="D312" t="str">
        <f>IFERROR(__xludf.DUMMYFUNCTION("""COMPUTED_VALUE"""),"LE CASE DEL PRESIDENTE")</f>
        <v>LE CASE DEL PRESIDENTE</v>
      </c>
      <c r="E312" t="str">
        <f>IFERROR(__xludf.DUMMYFUNCTION("""COMPUTED_VALUE"""),"DOTT.MICHELE IACOVONE SRL")</f>
        <v>DOTT.MICHELE IACOVONE SRL</v>
      </c>
      <c r="F312" t="str">
        <f>IFERROR(__xludf.DUMMYFUNCTION("""COMPUTED_VALUE"""),"PIAZZ TTA SINISGALLI 14")</f>
        <v>PIAZZ TTA SINISGALLI 14</v>
      </c>
      <c r="G312" t="str">
        <f>IFERROR(__xludf.DUMMYFUNCTION("""COMPUTED_VALUE"""),"Matera")</f>
        <v>Matera</v>
      </c>
      <c r="H312" t="str">
        <f>IFERROR(__xludf.DUMMYFUNCTION("""COMPUTED_VALUE"""),"Italy")</f>
        <v>Italy</v>
      </c>
      <c r="I312">
        <f>IFERROR(__xludf.DUMMYFUNCTION("""COMPUTED_VALUE"""),4102.0)</f>
        <v>4102</v>
      </c>
      <c r="J312">
        <f>IFERROR(__xludf.DUMMYFUNCTION("""COMPUTED_VALUE"""),8.0)</f>
        <v>8</v>
      </c>
      <c r="K312">
        <f>IFERROR(__xludf.DUMMYFUNCTION("""COMPUTED_VALUE"""),159.0)</f>
        <v>159</v>
      </c>
      <c r="L312">
        <f>IFERROR(__xludf.DUMMYFUNCTION("""COMPUTED_VALUE"""),1.06599077E9)</f>
        <v>1065990770</v>
      </c>
      <c r="M312">
        <f>IFERROR(__xludf.DUMMYFUNCTION("""COMPUTED_VALUE"""),7.0)</f>
        <v>7</v>
      </c>
      <c r="N312">
        <f>IFERROR(__xludf.DUMMYFUNCTION("""COMPUTED_VALUE"""),42003.0)</f>
        <v>42003</v>
      </c>
      <c r="O312" t="str">
        <f>IFERROR(__xludf.DUMMYFUNCTION("""COMPUTED_VALUE"""),"")</f>
        <v/>
      </c>
    </row>
    <row r="313">
      <c r="A313">
        <f>IFERROR(__xludf.DUMMYFUNCTION("""COMPUTED_VALUE"""),40.6752412)</f>
        <v>40.6752412</v>
      </c>
      <c r="B313">
        <f>IFERROR(__xludf.DUMMYFUNCTION("""COMPUTED_VALUE"""),16.5779617)</f>
        <v>16.5779617</v>
      </c>
      <c r="C313" t="str">
        <f>IFERROR(__xludf.DUMMYFUNCTION("""COMPUTED_VALUE"""),"Casa Vacanza")</f>
        <v>Casa Vacanza</v>
      </c>
      <c r="D313" t="str">
        <f>IFERROR(__xludf.DUMMYFUNCTION("""COMPUTED_VALUE"""),"LE CASE DI NONNA ANGELA")</f>
        <v>LE CASE DI NONNA ANGELA</v>
      </c>
      <c r="E313" t="str">
        <f>IFERROR(__xludf.DUMMYFUNCTION("""COMPUTED_VALUE"""),"EMANUELE MORO")</f>
        <v>EMANUELE MORO</v>
      </c>
      <c r="F313" t="str">
        <f>IFERROR(__xludf.DUMMYFUNCTION("""COMPUTED_VALUE"""),"VIA DEI MESTIERI 60")</f>
        <v>VIA DEI MESTIERI 60</v>
      </c>
      <c r="G313" t="str">
        <f>IFERROR(__xludf.DUMMYFUNCTION("""COMPUTED_VALUE"""),"Matera")</f>
        <v>Matera</v>
      </c>
      <c r="H313" t="str">
        <f>IFERROR(__xludf.DUMMYFUNCTION("""COMPUTED_VALUE"""),"Italy")</f>
        <v>Italy</v>
      </c>
      <c r="I313">
        <f>IFERROR(__xludf.DUMMYFUNCTION("""COMPUTED_VALUE"""),455.0)</f>
        <v>455</v>
      </c>
      <c r="J313">
        <f>IFERROR(__xludf.DUMMYFUNCTION("""COMPUTED_VALUE"""),10.0)</f>
        <v>10</v>
      </c>
      <c r="K313">
        <f>IFERROR(__xludf.DUMMYFUNCTION("""COMPUTED_VALUE"""),67.0)</f>
        <v>67</v>
      </c>
      <c r="L313" t="str">
        <f>IFERROR(__xludf.DUMMYFUNCTION("""COMPUTED_VALUE"""),"MROMNL70S14F052O")</f>
        <v>MROMNL70S14F052O</v>
      </c>
      <c r="M313">
        <f>IFERROR(__xludf.DUMMYFUNCTION("""COMPUTED_VALUE"""),8.0)</f>
        <v>8</v>
      </c>
      <c r="N313">
        <f>IFERROR(__xludf.DUMMYFUNCTION("""COMPUTED_VALUE"""),42389.0)</f>
        <v>42389</v>
      </c>
      <c r="O313" t="str">
        <f>IFERROR(__xludf.DUMMYFUNCTION("""COMPUTED_VALUE"""),"")</f>
        <v/>
      </c>
    </row>
    <row r="314">
      <c r="A314">
        <f>IFERROR(__xludf.DUMMYFUNCTION("""COMPUTED_VALUE"""),40.6605463)</f>
        <v>40.6605463</v>
      </c>
      <c r="B314">
        <f>IFERROR(__xludf.DUMMYFUNCTION("""COMPUTED_VALUE"""),16.6133354)</f>
        <v>16.6133354</v>
      </c>
      <c r="C314" t="str">
        <f>IFERROR(__xludf.DUMMYFUNCTION("""COMPUTED_VALUE"""),"Casa Vacanza")</f>
        <v>Casa Vacanza</v>
      </c>
      <c r="D314" t="str">
        <f>IFERROR(__xludf.DUMMYFUNCTION("""COMPUTED_VALUE"""),"LE CASE DI PEDDA")</f>
        <v>LE CASE DI PEDDA</v>
      </c>
      <c r="E314" t="str">
        <f>IFERROR(__xludf.DUMMYFUNCTION("""COMPUTED_VALUE"""),"TUBAZIO ANNA MARIA")</f>
        <v>TUBAZIO ANNA MARIA</v>
      </c>
      <c r="F314" t="str">
        <f>IFERROR(__xludf.DUMMYFUNCTION("""COMPUTED_VALUE"""),"VIA CASALNUOVO 20")</f>
        <v>VIA CASALNUOVO 20</v>
      </c>
      <c r="G314" t="str">
        <f>IFERROR(__xludf.DUMMYFUNCTION("""COMPUTED_VALUE"""),"Matera")</f>
        <v>Matera</v>
      </c>
      <c r="H314" t="str">
        <f>IFERROR(__xludf.DUMMYFUNCTION("""COMPUTED_VALUE"""),"Italy")</f>
        <v>Italy</v>
      </c>
      <c r="I314">
        <f>IFERROR(__xludf.DUMMYFUNCTION("""COMPUTED_VALUE"""),2555.0)</f>
        <v>2555</v>
      </c>
      <c r="J314">
        <f>IFERROR(__xludf.DUMMYFUNCTION("""COMPUTED_VALUE"""),2.0)</f>
        <v>2</v>
      </c>
      <c r="K314">
        <f>IFERROR(__xludf.DUMMYFUNCTION("""COMPUTED_VALUE"""),159.0)</f>
        <v>159</v>
      </c>
      <c r="L314" t="str">
        <f>IFERROR(__xludf.DUMMYFUNCTION("""COMPUTED_VALUE"""),"TBZNMR62H46F052Z")</f>
        <v>TBZNMR62H46F052Z</v>
      </c>
      <c r="M314">
        <f>IFERROR(__xludf.DUMMYFUNCTION("""COMPUTED_VALUE"""),2.0)</f>
        <v>2</v>
      </c>
      <c r="N314">
        <f>IFERROR(__xludf.DUMMYFUNCTION("""COMPUTED_VALUE"""),42412.0)</f>
        <v>42412</v>
      </c>
      <c r="O314" t="str">
        <f>IFERROR(__xludf.DUMMYFUNCTION("""COMPUTED_VALUE"""),"")</f>
        <v/>
      </c>
    </row>
    <row r="315">
      <c r="A315">
        <f>IFERROR(__xludf.DUMMYFUNCTION("""COMPUTED_VALUE"""),40.6690877)</f>
        <v>40.6690877</v>
      </c>
      <c r="B315">
        <f>IFERROR(__xludf.DUMMYFUNCTION("""COMPUTED_VALUE"""),16.6051626)</f>
        <v>16.6051626</v>
      </c>
      <c r="C315" t="str">
        <f>IFERROR(__xludf.DUMMYFUNCTION("""COMPUTED_VALUE"""),"Casa Vacanza")</f>
        <v>Casa Vacanza</v>
      </c>
      <c r="D315" t="str">
        <f>IFERROR(__xludf.DUMMYFUNCTION("""COMPUTED_VALUE"""),"LE CASE DI STANO")</f>
        <v>LE CASE DI STANO</v>
      </c>
      <c r="E315" t="str">
        <f>IFERROR(__xludf.DUMMYFUNCTION("""COMPUTED_VALUE"""),"GRECO PATRIZIA")</f>
        <v>GRECO PATRIZIA</v>
      </c>
      <c r="F315" t="str">
        <f>IFERROR(__xludf.DUMMYFUNCTION("""COMPUTED_VALUE"""),"")</f>
        <v/>
      </c>
      <c r="G315" t="str">
        <f>IFERROR(__xludf.DUMMYFUNCTION("""COMPUTED_VALUE"""),"Matera")</f>
        <v>Matera</v>
      </c>
      <c r="H315" t="str">
        <f>IFERROR(__xludf.DUMMYFUNCTION("""COMPUTED_VALUE"""),"Italy")</f>
        <v>Italy</v>
      </c>
      <c r="I315">
        <f>IFERROR(__xludf.DUMMYFUNCTION("""COMPUTED_VALUE"""),244.0)</f>
        <v>244</v>
      </c>
      <c r="J315">
        <f>IFERROR(__xludf.DUMMYFUNCTION("""COMPUTED_VALUE"""),4.0)</f>
        <v>4</v>
      </c>
      <c r="K315">
        <f>IFERROR(__xludf.DUMMYFUNCTION("""COMPUTED_VALUE"""),159.0)</f>
        <v>159</v>
      </c>
      <c r="L315" t="str">
        <f>IFERROR(__xludf.DUMMYFUNCTION("""COMPUTED_VALUE"""),"GRCPRZ80M69G786N")</f>
        <v>GRCPRZ80M69G786N</v>
      </c>
      <c r="M315">
        <f>IFERROR(__xludf.DUMMYFUNCTION("""COMPUTED_VALUE"""),3.0)</f>
        <v>3</v>
      </c>
      <c r="N315" t="str">
        <f>IFERROR(__xludf.DUMMYFUNCTION("""COMPUTED_VALUE"""),"")</f>
        <v/>
      </c>
      <c r="O315" t="str">
        <f>IFERROR(__xludf.DUMMYFUNCTION("""COMPUTED_VALUE"""),"")</f>
        <v/>
      </c>
    </row>
    <row r="316">
      <c r="A316">
        <f>IFERROR(__xludf.DUMMYFUNCTION("""COMPUTED_VALUE"""),40.669259)</f>
        <v>40.669259</v>
      </c>
      <c r="B316">
        <f>IFERROR(__xludf.DUMMYFUNCTION("""COMPUTED_VALUE"""),16.605793)</f>
        <v>16.605793</v>
      </c>
      <c r="C316" t="str">
        <f>IFERROR(__xludf.DUMMYFUNCTION("""COMPUTED_VALUE"""),"Casa Vacanza")</f>
        <v>Casa Vacanza</v>
      </c>
      <c r="D316" t="str">
        <f>IFERROR(__xludf.DUMMYFUNCTION("""COMPUTED_VALUE"""),"LE CASE DI STANO")</f>
        <v>LE CASE DI STANO</v>
      </c>
      <c r="E316" t="str">
        <f>IFERROR(__xludf.DUMMYFUNCTION("""COMPUTED_VALUE"""),"GRECO PATRIZIA")</f>
        <v>GRECO PATRIZIA</v>
      </c>
      <c r="F316" t="str">
        <f>IFERROR(__xludf.DUMMYFUNCTION("""COMPUTED_VALUE"""),"VIA D'ADDOZIO 90")</f>
        <v>VIA D'ADDOZIO 90</v>
      </c>
      <c r="G316" t="str">
        <f>IFERROR(__xludf.DUMMYFUNCTION("""COMPUTED_VALUE"""),"Matera")</f>
        <v>Matera</v>
      </c>
      <c r="H316" t="str">
        <f>IFERROR(__xludf.DUMMYFUNCTION("""COMPUTED_VALUE"""),"Italy")</f>
        <v>Italy</v>
      </c>
      <c r="I316" t="str">
        <f>IFERROR(__xludf.DUMMYFUNCTION("""COMPUTED_VALUE"""),"")</f>
        <v/>
      </c>
      <c r="J316" t="str">
        <f>IFERROR(__xludf.DUMMYFUNCTION("""COMPUTED_VALUE"""),"")</f>
        <v/>
      </c>
      <c r="K316" t="str">
        <f>IFERROR(__xludf.DUMMYFUNCTION("""COMPUTED_VALUE"""),"")</f>
        <v/>
      </c>
      <c r="L316" t="str">
        <f>IFERROR(__xludf.DUMMYFUNCTION("""COMPUTED_VALUE"""),"GRCPRZ80M69G786N")</f>
        <v>GRCPRZ80M69G786N</v>
      </c>
      <c r="M316" t="str">
        <f>IFERROR(__xludf.DUMMYFUNCTION("""COMPUTED_VALUE"""),"")</f>
        <v/>
      </c>
      <c r="N316">
        <f>IFERROR(__xludf.DUMMYFUNCTION("""COMPUTED_VALUE"""),42327.0)</f>
        <v>42327</v>
      </c>
      <c r="O316" t="str">
        <f>IFERROR(__xludf.DUMMYFUNCTION("""COMPUTED_VALUE"""),"")</f>
        <v/>
      </c>
    </row>
    <row r="317">
      <c r="A317">
        <f>IFERROR(__xludf.DUMMYFUNCTION("""COMPUTED_VALUE"""),40.666957)</f>
        <v>40.666957</v>
      </c>
      <c r="B317">
        <f>IFERROR(__xludf.DUMMYFUNCTION("""COMPUTED_VALUE"""),16.6053108)</f>
        <v>16.6053108</v>
      </c>
      <c r="C317" t="str">
        <f>IFERROR(__xludf.DUMMYFUNCTION("""COMPUTED_VALUE"""),"Casa Vacanza")</f>
        <v>Casa Vacanza</v>
      </c>
      <c r="D317" t="str">
        <f>IFERROR(__xludf.DUMMYFUNCTION("""COMPUTED_VALUE"""),"LE CASETTE")</f>
        <v>LE CASETTE</v>
      </c>
      <c r="E317" t="str">
        <f>IFERROR(__xludf.DUMMYFUNCTION("""COMPUTED_VALUE"""),"ANNALISA MARAGNO")</f>
        <v>ANNALISA MARAGNO</v>
      </c>
      <c r="F317" t="str">
        <f>IFERROR(__xludf.DUMMYFUNCTION("""COMPUTED_VALUE"""),"RECINTO ROMA 11-12")</f>
        <v>RECINTO ROMA 11-12</v>
      </c>
      <c r="G317" t="str">
        <f>IFERROR(__xludf.DUMMYFUNCTION("""COMPUTED_VALUE"""),"Matera")</f>
        <v>Matera</v>
      </c>
      <c r="H317" t="str">
        <f>IFERROR(__xludf.DUMMYFUNCTION("""COMPUTED_VALUE"""),"Italy")</f>
        <v>Italy</v>
      </c>
      <c r="I317">
        <f>IFERROR(__xludf.DUMMYFUNCTION("""COMPUTED_VALUE"""),2710.0)</f>
        <v>2710</v>
      </c>
      <c r="J317">
        <f>IFERROR(__xludf.DUMMYFUNCTION("""COMPUTED_VALUE"""),48.0)</f>
        <v>48</v>
      </c>
      <c r="K317">
        <f>IFERROR(__xludf.DUMMYFUNCTION("""COMPUTED_VALUE"""),159.0)</f>
        <v>159</v>
      </c>
      <c r="L317" t="str">
        <f>IFERROR(__xludf.DUMMYFUNCTION("""COMPUTED_VALUE"""),"MRGNLS87A58F052W")</f>
        <v>MRGNLS87A58F052W</v>
      </c>
      <c r="M317">
        <f>IFERROR(__xludf.DUMMYFUNCTION("""COMPUTED_VALUE"""),4.0)</f>
        <v>4</v>
      </c>
      <c r="N317">
        <f>IFERROR(__xludf.DUMMYFUNCTION("""COMPUTED_VALUE"""),42678.0)</f>
        <v>42678</v>
      </c>
      <c r="O317" t="str">
        <f>IFERROR(__xludf.DUMMYFUNCTION("""COMPUTED_VALUE"""),"")</f>
        <v/>
      </c>
    </row>
    <row r="318">
      <c r="A318">
        <f>IFERROR(__xludf.DUMMYFUNCTION("""COMPUTED_VALUE"""),40.6760151)</f>
        <v>40.6760151</v>
      </c>
      <c r="B318">
        <f>IFERROR(__xludf.DUMMYFUNCTION("""COMPUTED_VALUE"""),16.5977784)</f>
        <v>16.5977784</v>
      </c>
      <c r="C318" t="str">
        <f>IFERROR(__xludf.DUMMYFUNCTION("""COMPUTED_VALUE"""),"Casa Vacanza")</f>
        <v>Casa Vacanza</v>
      </c>
      <c r="D318" t="str">
        <f>IFERROR(__xludf.DUMMYFUNCTION("""COMPUTED_VALUE"""),"LE DUE ARCATE")</f>
        <v>LE DUE ARCATE</v>
      </c>
      <c r="E318" t="str">
        <f>IFERROR(__xludf.DUMMYFUNCTION("""COMPUTED_VALUE"""),"DUNI ANTONIO")</f>
        <v>DUNI ANTONIO</v>
      </c>
      <c r="F318" t="str">
        <f>IFERROR(__xludf.DUMMYFUNCTION("""COMPUTED_VALUE"""),"VIA SALVEMINI 21")</f>
        <v>VIA SALVEMINI 21</v>
      </c>
      <c r="G318" t="str">
        <f>IFERROR(__xludf.DUMMYFUNCTION("""COMPUTED_VALUE"""),"Matera")</f>
        <v>Matera</v>
      </c>
      <c r="H318" t="str">
        <f>IFERROR(__xludf.DUMMYFUNCTION("""COMPUTED_VALUE"""),"Italy")</f>
        <v>Italy</v>
      </c>
      <c r="I318">
        <f>IFERROR(__xludf.DUMMYFUNCTION("""COMPUTED_VALUE"""),323.0)</f>
        <v>323</v>
      </c>
      <c r="J318">
        <f>IFERROR(__xludf.DUMMYFUNCTION("""COMPUTED_VALUE"""),25.0)</f>
        <v>25</v>
      </c>
      <c r="K318">
        <f>IFERROR(__xludf.DUMMYFUNCTION("""COMPUTED_VALUE"""),71.0)</f>
        <v>71</v>
      </c>
      <c r="L318" t="str">
        <f>IFERROR(__xludf.DUMMYFUNCTION("""COMPUTED_VALUE"""),"DNUNTN56S18F052N")</f>
        <v>DNUNTN56S18F052N</v>
      </c>
      <c r="M318">
        <f>IFERROR(__xludf.DUMMYFUNCTION("""COMPUTED_VALUE"""),2.0)</f>
        <v>2</v>
      </c>
      <c r="N318">
        <f>IFERROR(__xludf.DUMMYFUNCTION("""COMPUTED_VALUE"""),42541.0)</f>
        <v>42541</v>
      </c>
      <c r="O318" t="str">
        <f>IFERROR(__xludf.DUMMYFUNCTION("""COMPUTED_VALUE"""),"")</f>
        <v/>
      </c>
    </row>
    <row r="319">
      <c r="A319">
        <f>IFERROR(__xludf.DUMMYFUNCTION("""COMPUTED_VALUE"""),40.6713794160244)</f>
        <v>40.67137942</v>
      </c>
      <c r="B319">
        <f>IFERROR(__xludf.DUMMYFUNCTION("""COMPUTED_VALUE"""),16.606237747698)</f>
        <v>16.60623775</v>
      </c>
      <c r="C319" t="str">
        <f>IFERROR(__xludf.DUMMYFUNCTION("""COMPUTED_VALUE"""),"Casa Vacanza")</f>
        <v>Casa Vacanza</v>
      </c>
      <c r="D319" t="str">
        <f>IFERROR(__xludf.DUMMYFUNCTION("""COMPUTED_VALUE"""),"LE DUE SPADE-CASA SARA")</f>
        <v>LE DUE SPADE-CASA SARA</v>
      </c>
      <c r="E319" t="str">
        <f>IFERROR(__xludf.DUMMYFUNCTION("""COMPUTED_VALUE"""),"SARA SPADA")</f>
        <v>SARA SPADA</v>
      </c>
      <c r="F319" t="str">
        <f>IFERROR(__xludf.DUMMYFUNCTION("""COMPUTED_VALUE"""),"VIA F.LLI ROSSELLI 68 PT.")</f>
        <v>VIA F.LLI ROSSELLI 68 PT.</v>
      </c>
      <c r="G319" t="str">
        <f>IFERROR(__xludf.DUMMYFUNCTION("""COMPUTED_VALUE"""),"Matera")</f>
        <v>Matera</v>
      </c>
      <c r="H319" t="str">
        <f>IFERROR(__xludf.DUMMYFUNCTION("""COMPUTED_VALUE"""),"Italy")</f>
        <v>Italy</v>
      </c>
      <c r="I319">
        <f>IFERROR(__xludf.DUMMYFUNCTION("""COMPUTED_VALUE"""),3664.0)</f>
        <v>3664</v>
      </c>
      <c r="J319">
        <f>IFERROR(__xludf.DUMMYFUNCTION("""COMPUTED_VALUE"""),41.0)</f>
        <v>41</v>
      </c>
      <c r="K319">
        <f>IFERROR(__xludf.DUMMYFUNCTION("""COMPUTED_VALUE"""),159.0)</f>
        <v>159</v>
      </c>
      <c r="L319" t="str">
        <f>IFERROR(__xludf.DUMMYFUNCTION("""COMPUTED_VALUE"""),"SPDSRA94P58F052Y")</f>
        <v>SPDSRA94P58F052Y</v>
      </c>
      <c r="M319">
        <f>IFERROR(__xludf.DUMMYFUNCTION("""COMPUTED_VALUE"""),4.0)</f>
        <v>4</v>
      </c>
      <c r="N319">
        <f>IFERROR(__xludf.DUMMYFUNCTION("""COMPUTED_VALUE"""),42547.0)</f>
        <v>42547</v>
      </c>
      <c r="O319" t="str">
        <f>IFERROR(__xludf.DUMMYFUNCTION("""COMPUTED_VALUE"""),"")</f>
        <v/>
      </c>
    </row>
    <row r="320">
      <c r="A320">
        <f>IFERROR(__xludf.DUMMYFUNCTION("""COMPUTED_VALUE"""),40.6713794160244)</f>
        <v>40.67137942</v>
      </c>
      <c r="B320">
        <f>IFERROR(__xludf.DUMMYFUNCTION("""COMPUTED_VALUE"""),16.606237747698)</f>
        <v>16.60623775</v>
      </c>
      <c r="C320" t="str">
        <f>IFERROR(__xludf.DUMMYFUNCTION("""COMPUTED_VALUE"""),"Casa Vacanza")</f>
        <v>Casa Vacanza</v>
      </c>
      <c r="D320" t="str">
        <f>IFERROR(__xludf.DUMMYFUNCTION("""COMPUTED_VALUE"""),"LE DUE SPADE-CASA SOFIA")</f>
        <v>LE DUE SPADE-CASA SOFIA</v>
      </c>
      <c r="E320" t="str">
        <f>IFERROR(__xludf.DUMMYFUNCTION("""COMPUTED_VALUE"""),"SOFIA SPADA")</f>
        <v>SOFIA SPADA</v>
      </c>
      <c r="F320" t="str">
        <f>IFERROR(__xludf.DUMMYFUNCTION("""COMPUTED_VALUE"""),"VICO TORQUATO TASSO 15 PT")</f>
        <v>VICO TORQUATO TASSO 15 PT</v>
      </c>
      <c r="G320" t="str">
        <f>IFERROR(__xludf.DUMMYFUNCTION("""COMPUTED_VALUE"""),"Matera")</f>
        <v>Matera</v>
      </c>
      <c r="H320" t="str">
        <f>IFERROR(__xludf.DUMMYFUNCTION("""COMPUTED_VALUE"""),"Italy")</f>
        <v>Italy</v>
      </c>
      <c r="I320">
        <f>IFERROR(__xludf.DUMMYFUNCTION("""COMPUTED_VALUE"""),3664.0)</f>
        <v>3664</v>
      </c>
      <c r="J320">
        <f>IFERROR(__xludf.DUMMYFUNCTION("""COMPUTED_VALUE"""),41.0)</f>
        <v>41</v>
      </c>
      <c r="K320">
        <f>IFERROR(__xludf.DUMMYFUNCTION("""COMPUTED_VALUE"""),159.0)</f>
        <v>159</v>
      </c>
      <c r="L320" t="str">
        <f>IFERROR(__xludf.DUMMYFUNCTION("""COMPUTED_VALUE"""),"SPDSFO92H58A048L")</f>
        <v>SPDSFO92H58A048L</v>
      </c>
      <c r="M320">
        <f>IFERROR(__xludf.DUMMYFUNCTION("""COMPUTED_VALUE"""),4.0)</f>
        <v>4</v>
      </c>
      <c r="N320">
        <f>IFERROR(__xludf.DUMMYFUNCTION("""COMPUTED_VALUE"""),42547.0)</f>
        <v>42547</v>
      </c>
      <c r="O320" t="str">
        <f>IFERROR(__xludf.DUMMYFUNCTION("""COMPUTED_VALUE"""),"")</f>
        <v/>
      </c>
    </row>
    <row r="321">
      <c r="A321">
        <f>IFERROR(__xludf.DUMMYFUNCTION("""COMPUTED_VALUE"""),40.6678407)</f>
        <v>40.6678407</v>
      </c>
      <c r="B321">
        <f>IFERROR(__xludf.DUMMYFUNCTION("""COMPUTED_VALUE"""),16.6091579)</f>
        <v>16.6091579</v>
      </c>
      <c r="C321" t="str">
        <f>IFERROR(__xludf.DUMMYFUNCTION("""COMPUTED_VALUE"""),"Casa Vacanza")</f>
        <v>Casa Vacanza</v>
      </c>
      <c r="D321" t="str">
        <f>IFERROR(__xludf.DUMMYFUNCTION("""COMPUTED_VALUE"""),"LE ESPERIDI")</f>
        <v>LE ESPERIDI</v>
      </c>
      <c r="E321" t="str">
        <f>IFERROR(__xludf.DUMMYFUNCTION("""COMPUTED_VALUE"""),"INGLESE COSIMINA")</f>
        <v>INGLESE COSIMINA</v>
      </c>
      <c r="F321" t="str">
        <f>IFERROR(__xludf.DUMMYFUNCTION("""COMPUTED_VALUE"""),"VIA SAN ROCCO 73")</f>
        <v>VIA SAN ROCCO 73</v>
      </c>
      <c r="G321" t="str">
        <f>IFERROR(__xludf.DUMMYFUNCTION("""COMPUTED_VALUE"""),"Matera")</f>
        <v>Matera</v>
      </c>
      <c r="H321" t="str">
        <f>IFERROR(__xludf.DUMMYFUNCTION("""COMPUTED_VALUE"""),"Italy")</f>
        <v>Italy</v>
      </c>
      <c r="I321" t="str">
        <f>IFERROR(__xludf.DUMMYFUNCTION("""COMPUTED_VALUE"""),"")</f>
        <v/>
      </c>
      <c r="J321" t="str">
        <f>IFERROR(__xludf.DUMMYFUNCTION("""COMPUTED_VALUE"""),"")</f>
        <v/>
      </c>
      <c r="K321" t="str">
        <f>IFERROR(__xludf.DUMMYFUNCTION("""COMPUTED_VALUE"""),"")</f>
        <v/>
      </c>
      <c r="L321" t="str">
        <f>IFERROR(__xludf.DUMMYFUNCTION("""COMPUTED_VALUE"""),"NGLCMN65M52F052X")</f>
        <v>NGLCMN65M52F052X</v>
      </c>
      <c r="M321">
        <f>IFERROR(__xludf.DUMMYFUNCTION("""COMPUTED_VALUE"""),4.0)</f>
        <v>4</v>
      </c>
      <c r="N321">
        <f>IFERROR(__xludf.DUMMYFUNCTION("""COMPUTED_VALUE"""),39149.0)</f>
        <v>39149</v>
      </c>
      <c r="O321" t="str">
        <f>IFERROR(__xludf.DUMMYFUNCTION("""COMPUTED_VALUE"""),"")</f>
        <v/>
      </c>
    </row>
    <row r="322">
      <c r="A322">
        <f>IFERROR(__xludf.DUMMYFUNCTION("""COMPUTED_VALUE"""),40.6620843406861)</f>
        <v>40.66208434</v>
      </c>
      <c r="B322">
        <f>IFERROR(__xludf.DUMMYFUNCTION("""COMPUTED_VALUE"""),16.6080638309873)</f>
        <v>16.60806383</v>
      </c>
      <c r="C322" t="str">
        <f>IFERROR(__xludf.DUMMYFUNCTION("""COMPUTED_VALUE"""),"Casa Vacanza")</f>
        <v>Casa Vacanza</v>
      </c>
      <c r="D322" t="str">
        <f>IFERROR(__xludf.DUMMYFUNCTION("""COMPUTED_VALUE"""),"LE FERULE 1")</f>
        <v>LE FERULE 1</v>
      </c>
      <c r="E322" t="str">
        <f>IFERROR(__xludf.DUMMYFUNCTION("""COMPUTED_VALUE"""),"NICOLA LOMURNO")</f>
        <v>NICOLA LOMURNO</v>
      </c>
      <c r="F322" t="str">
        <f>IFERROR(__xludf.DUMMYFUNCTION("""COMPUTED_VALUE"""),"VIA P. G. MINOZZI 43")</f>
        <v>VIA P. G. MINOZZI 43</v>
      </c>
      <c r="G322" t="str">
        <f>IFERROR(__xludf.DUMMYFUNCTION("""COMPUTED_VALUE"""),"Matera")</f>
        <v>Matera</v>
      </c>
      <c r="H322" t="str">
        <f>IFERROR(__xludf.DUMMYFUNCTION("""COMPUTED_VALUE"""),"Italy")</f>
        <v>Italy</v>
      </c>
      <c r="I322">
        <f>IFERROR(__xludf.DUMMYFUNCTION("""COMPUTED_VALUE"""),359.0)</f>
        <v>359</v>
      </c>
      <c r="J322">
        <f>IFERROR(__xludf.DUMMYFUNCTION("""COMPUTED_VALUE"""),11.0)</f>
        <v>11</v>
      </c>
      <c r="K322">
        <f>IFERROR(__xludf.DUMMYFUNCTION("""COMPUTED_VALUE"""),103.0)</f>
        <v>103</v>
      </c>
      <c r="L322" t="str">
        <f>IFERROR(__xludf.DUMMYFUNCTION("""COMPUTED_VALUE"""),"LMRNCL84E29F052U")</f>
        <v>LMRNCL84E29F052U</v>
      </c>
      <c r="M322">
        <f>IFERROR(__xludf.DUMMYFUNCTION("""COMPUTED_VALUE"""),3.0)</f>
        <v>3</v>
      </c>
      <c r="N322">
        <f>IFERROR(__xludf.DUMMYFUNCTION("""COMPUTED_VALUE"""),42915.0)</f>
        <v>42915</v>
      </c>
      <c r="O322">
        <f>IFERROR(__xludf.DUMMYFUNCTION("""COMPUTED_VALUE"""),1503.0)</f>
        <v>1503</v>
      </c>
    </row>
    <row r="323">
      <c r="A323">
        <f>IFERROR(__xludf.DUMMYFUNCTION("""COMPUTED_VALUE"""),40.6656789)</f>
        <v>40.6656789</v>
      </c>
      <c r="B323">
        <f>IFERROR(__xludf.DUMMYFUNCTION("""COMPUTED_VALUE"""),16.6126694)</f>
        <v>16.6126694</v>
      </c>
      <c r="C323" t="str">
        <f>IFERROR(__xludf.DUMMYFUNCTION("""COMPUTED_VALUE"""),"Casa Vacanza")</f>
        <v>Casa Vacanza</v>
      </c>
      <c r="D323" t="str">
        <f>IFERROR(__xludf.DUMMYFUNCTION("""COMPUTED_VALUE"""),"LE LUMINARIE")</f>
        <v>LE LUMINARIE</v>
      </c>
      <c r="E323" t="str">
        <f>IFERROR(__xludf.DUMMYFUNCTION("""COMPUTED_VALUE"""),"ED LORELLA RUSCIGNO")</f>
        <v>ED LORELLA RUSCIGNO</v>
      </c>
      <c r="F323" t="str">
        <f>IFERROR(__xludf.DUMMYFUNCTION("""COMPUTED_VALUE"""),"VIA SANT'ANGELO 51")</f>
        <v>VIA SANT'ANGELO 51</v>
      </c>
      <c r="G323" t="str">
        <f>IFERROR(__xludf.DUMMYFUNCTION("""COMPUTED_VALUE"""),"Matera")</f>
        <v>Matera</v>
      </c>
      <c r="H323" t="str">
        <f>IFERROR(__xludf.DUMMYFUNCTION("""COMPUTED_VALUE"""),"Italy")</f>
        <v>Italy</v>
      </c>
      <c r="I323">
        <f>IFERROR(__xludf.DUMMYFUNCTION("""COMPUTED_VALUE"""),1623.0)</f>
        <v>1623</v>
      </c>
      <c r="J323">
        <f>IFERROR(__xludf.DUMMYFUNCTION("""COMPUTED_VALUE"""),3.0)</f>
        <v>3</v>
      </c>
      <c r="K323">
        <f>IFERROR(__xludf.DUMMYFUNCTION("""COMPUTED_VALUE"""),159.0)</f>
        <v>159</v>
      </c>
      <c r="L323" t="str">
        <f>IFERROR(__xludf.DUMMYFUNCTION("""COMPUTED_VALUE"""),"RSCNLL67C46F052R")</f>
        <v>RSCNLL67C46F052R</v>
      </c>
      <c r="M323">
        <f>IFERROR(__xludf.DUMMYFUNCTION("""COMPUTED_VALUE"""),2.0)</f>
        <v>2</v>
      </c>
      <c r="N323">
        <f>IFERROR(__xludf.DUMMYFUNCTION("""COMPUTED_VALUE"""),43038.0)</f>
        <v>43038</v>
      </c>
      <c r="O323" t="str">
        <f>IFERROR(__xludf.DUMMYFUNCTION("""COMPUTED_VALUE"""),"")</f>
        <v/>
      </c>
    </row>
    <row r="324">
      <c r="A324">
        <f>IFERROR(__xludf.DUMMYFUNCTION("""COMPUTED_VALUE"""),40.6658105695512)</f>
        <v>40.66581057</v>
      </c>
      <c r="B324">
        <f>IFERROR(__xludf.DUMMYFUNCTION("""COMPUTED_VALUE"""),16.6044763744598)</f>
        <v>16.60447637</v>
      </c>
      <c r="C324" t="str">
        <f>IFERROR(__xludf.DUMMYFUNCTION("""COMPUTED_VALUE"""),"Casa Vacanza")</f>
        <v>Casa Vacanza</v>
      </c>
      <c r="D324" t="str">
        <f>IFERROR(__xludf.DUMMYFUNCTION("""COMPUTED_VALUE"""),"LE LUMINARIE DELLA BRUNA")</f>
        <v>LE LUMINARIE DELLA BRUNA</v>
      </c>
      <c r="E324" t="str">
        <f>IFERROR(__xludf.DUMMYFUNCTION("""COMPUTED_VALUE"""),"GABOR ANTONELLA MARINELLA")</f>
        <v>GABOR ANTONELLA MARINELLA</v>
      </c>
      <c r="F324" t="str">
        <f>IFERROR(__xludf.DUMMYFUNCTION("""COMPUTED_VALUE"""),"PIAZZA MULINO 14")</f>
        <v>PIAZZA MULINO 14</v>
      </c>
      <c r="G324" t="str">
        <f>IFERROR(__xludf.DUMMYFUNCTION("""COMPUTED_VALUE"""),"Matera")</f>
        <v>Matera</v>
      </c>
      <c r="H324" t="str">
        <f>IFERROR(__xludf.DUMMYFUNCTION("""COMPUTED_VALUE"""),"Italy")</f>
        <v>Italy</v>
      </c>
      <c r="I324">
        <f>IFERROR(__xludf.DUMMYFUNCTION("""COMPUTED_VALUE"""),1630.0)</f>
        <v>1630</v>
      </c>
      <c r="J324">
        <f>IFERROR(__xludf.DUMMYFUNCTION("""COMPUTED_VALUE"""),119.0)</f>
        <v>119</v>
      </c>
      <c r="K324">
        <f>IFERROR(__xludf.DUMMYFUNCTION("""COMPUTED_VALUE"""),71.0)</f>
        <v>71</v>
      </c>
      <c r="L324" t="str">
        <f>IFERROR(__xludf.DUMMYFUNCTION("""COMPUTED_VALUE"""),"GBRNNL90H53Z129K")</f>
        <v>GBRNNL90H53Z129K</v>
      </c>
      <c r="M324">
        <f>IFERROR(__xludf.DUMMYFUNCTION("""COMPUTED_VALUE"""),4.0)</f>
        <v>4</v>
      </c>
      <c r="N324">
        <f>IFERROR(__xludf.DUMMYFUNCTION("""COMPUTED_VALUE"""),43210.0)</f>
        <v>43210</v>
      </c>
      <c r="O324" t="str">
        <f>IFERROR(__xludf.DUMMYFUNCTION("""COMPUTED_VALUE"""),"")</f>
        <v/>
      </c>
    </row>
    <row r="325">
      <c r="A325">
        <f>IFERROR(__xludf.DUMMYFUNCTION("""COMPUTED_VALUE"""),40.6639544)</f>
        <v>40.6639544</v>
      </c>
      <c r="B325">
        <f>IFERROR(__xludf.DUMMYFUNCTION("""COMPUTED_VALUE"""),16.6111861)</f>
        <v>16.6111861</v>
      </c>
      <c r="C325" t="str">
        <f>IFERROR(__xludf.DUMMYFUNCTION("""COMPUTED_VALUE"""),"Casa Vacanza")</f>
        <v>Casa Vacanza</v>
      </c>
      <c r="D325" t="str">
        <f>IFERROR(__xludf.DUMMYFUNCTION("""COMPUTED_VALUE"""),"LE NICCHIE DI ALPALUMA")</f>
        <v>LE NICCHIE DI ALPALUMA</v>
      </c>
      <c r="E325" t="str">
        <f>IFERROR(__xludf.DUMMYFUNCTION("""COMPUTED_VALUE"""),"MAURIZIO CAPOZZA")</f>
        <v>MAURIZIO CAPOZZA</v>
      </c>
      <c r="F325" t="str">
        <f>IFERROR(__xludf.DUMMYFUNCTION("""COMPUTED_VALUE"""),"VIA SAN PIETRO CAVEOSO 31")</f>
        <v>VIA SAN PIETRO CAVEOSO 31</v>
      </c>
      <c r="G325" t="str">
        <f>IFERROR(__xludf.DUMMYFUNCTION("""COMPUTED_VALUE"""),"Matera")</f>
        <v>Matera</v>
      </c>
      <c r="H325" t="str">
        <f>IFERROR(__xludf.DUMMYFUNCTION("""COMPUTED_VALUE"""),"Italy")</f>
        <v>Italy</v>
      </c>
      <c r="I325">
        <f>IFERROR(__xludf.DUMMYFUNCTION("""COMPUTED_VALUE"""),1773.0)</f>
        <v>1773</v>
      </c>
      <c r="J325">
        <f>IFERROR(__xludf.DUMMYFUNCTION("""COMPUTED_VALUE"""),4.0)</f>
        <v>4</v>
      </c>
      <c r="K325">
        <f>IFERROR(__xludf.DUMMYFUNCTION("""COMPUTED_VALUE"""),159.0)</f>
        <v>159</v>
      </c>
      <c r="L325" t="str">
        <f>IFERROR(__xludf.DUMMYFUNCTION("""COMPUTED_VALUE"""),"CPZMRZ78P22C134H")</f>
        <v>CPZMRZ78P22C134H</v>
      </c>
      <c r="M325">
        <f>IFERROR(__xludf.DUMMYFUNCTION("""COMPUTED_VALUE"""),5.0)</f>
        <v>5</v>
      </c>
      <c r="N325">
        <f>IFERROR(__xludf.DUMMYFUNCTION("""COMPUTED_VALUE"""),42898.0)</f>
        <v>42898</v>
      </c>
      <c r="O325" t="str">
        <f>IFERROR(__xludf.DUMMYFUNCTION("""COMPUTED_VALUE"""),"")</f>
        <v/>
      </c>
    </row>
    <row r="326">
      <c r="A326">
        <f>IFERROR(__xludf.DUMMYFUNCTION("""COMPUTED_VALUE"""),40.6663069328463)</f>
        <v>40.66630693</v>
      </c>
      <c r="B326">
        <f>IFERROR(__xludf.DUMMYFUNCTION("""COMPUTED_VALUE"""),16.6121885359474)</f>
        <v>16.61218854</v>
      </c>
      <c r="C326" t="str">
        <f>IFERROR(__xludf.DUMMYFUNCTION("""COMPUTED_VALUE"""),"Casa Vacanza")</f>
        <v>Casa Vacanza</v>
      </c>
      <c r="D326" t="str">
        <f>IFERROR(__xludf.DUMMYFUNCTION("""COMPUTED_VALUE"""),"LE SCUDERIE NOHA")</f>
        <v>LE SCUDERIE NOHA</v>
      </c>
      <c r="E326" t="str">
        <f>IFERROR(__xludf.DUMMYFUNCTION("""COMPUTED_VALUE"""),"LEONARDO DE ANGELIS")</f>
        <v>LEONARDO DE ANGELIS</v>
      </c>
      <c r="F326" t="str">
        <f>IFERROR(__xludf.DUMMYFUNCTION("""COMPUTED_VALUE"""),"VIA MURO 8")</f>
        <v>VIA MURO 8</v>
      </c>
      <c r="G326" t="str">
        <f>IFERROR(__xludf.DUMMYFUNCTION("""COMPUTED_VALUE"""),"Matera")</f>
        <v>Matera</v>
      </c>
      <c r="H326" t="str">
        <f>IFERROR(__xludf.DUMMYFUNCTION("""COMPUTED_VALUE"""),"Italy")</f>
        <v>Italy</v>
      </c>
      <c r="I326">
        <f>IFERROR(__xludf.DUMMYFUNCTION("""COMPUTED_VALUE"""),1418.0)</f>
        <v>1418</v>
      </c>
      <c r="J326">
        <f>IFERROR(__xludf.DUMMYFUNCTION("""COMPUTED_VALUE"""),1.0)</f>
        <v>1</v>
      </c>
      <c r="K326">
        <f>IFERROR(__xludf.DUMMYFUNCTION("""COMPUTED_VALUE"""),159.0)</f>
        <v>159</v>
      </c>
      <c r="L326" t="str">
        <f>IFERROR(__xludf.DUMMYFUNCTION("""COMPUTED_VALUE"""),"DNGLRD78S23A132H")</f>
        <v>DNGLRD78S23A132H</v>
      </c>
      <c r="M326">
        <f>IFERROR(__xludf.DUMMYFUNCTION("""COMPUTED_VALUE"""),6.0)</f>
        <v>6</v>
      </c>
      <c r="N326">
        <f>IFERROR(__xludf.DUMMYFUNCTION("""COMPUTED_VALUE"""),42433.0)</f>
        <v>42433</v>
      </c>
      <c r="O326" t="str">
        <f>IFERROR(__xludf.DUMMYFUNCTION("""COMPUTED_VALUE"""),"")</f>
        <v/>
      </c>
    </row>
    <row r="327">
      <c r="A327">
        <f>IFERROR(__xludf.DUMMYFUNCTION("""COMPUTED_VALUE"""),40.6691452)</f>
        <v>40.6691452</v>
      </c>
      <c r="B327">
        <f>IFERROR(__xludf.DUMMYFUNCTION("""COMPUTED_VALUE"""),16.6054154)</f>
        <v>16.6054154</v>
      </c>
      <c r="C327" t="str">
        <f>IFERROR(__xludf.DUMMYFUNCTION("""COMPUTED_VALUE"""),"Casa Vacanza")</f>
        <v>Casa Vacanza</v>
      </c>
      <c r="D327" t="str">
        <f>IFERROR(__xludf.DUMMYFUNCTION("""COMPUTED_VALUE"""),"LE SPIGHE")</f>
        <v>LE SPIGHE</v>
      </c>
      <c r="E327" t="str">
        <f>IFERROR(__xludf.DUMMYFUNCTION("""COMPUTED_VALUE"""),"GILBERTO DANESE")</f>
        <v>GILBERTO DANESE</v>
      </c>
      <c r="F327" t="str">
        <f>IFERROR(__xludf.DUMMYFUNCTION("""COMPUTED_VALUE"""),"PIAZZA C.FIRRAO 11")</f>
        <v>PIAZZA C.FIRRAO 11</v>
      </c>
      <c r="G327" t="str">
        <f>IFERROR(__xludf.DUMMYFUNCTION("""COMPUTED_VALUE"""),"Matera")</f>
        <v>Matera</v>
      </c>
      <c r="H327" t="str">
        <f>IFERROR(__xludf.DUMMYFUNCTION("""COMPUTED_VALUE"""),"Italy")</f>
        <v>Italy</v>
      </c>
      <c r="I327">
        <f>IFERROR(__xludf.DUMMYFUNCTION("""COMPUTED_VALUE"""),5249.0)</f>
        <v>5249</v>
      </c>
      <c r="J327">
        <f>IFERROR(__xludf.DUMMYFUNCTION("""COMPUTED_VALUE"""),6.0)</f>
        <v>6</v>
      </c>
      <c r="K327">
        <f>IFERROR(__xludf.DUMMYFUNCTION("""COMPUTED_VALUE"""),159.0)</f>
        <v>159</v>
      </c>
      <c r="L327" t="str">
        <f>IFERROR(__xludf.DUMMYFUNCTION("""COMPUTED_VALUE"""),"DNSGBR51P02F052P")</f>
        <v>DNSGBR51P02F052P</v>
      </c>
      <c r="M327">
        <f>IFERROR(__xludf.DUMMYFUNCTION("""COMPUTED_VALUE"""),6.0)</f>
        <v>6</v>
      </c>
      <c r="N327">
        <f>IFERROR(__xludf.DUMMYFUNCTION("""COMPUTED_VALUE"""),42297.0)</f>
        <v>42297</v>
      </c>
      <c r="O327">
        <f>IFERROR(__xludf.DUMMYFUNCTION("""COMPUTED_VALUE"""),1955.0)</f>
        <v>1955</v>
      </c>
    </row>
    <row r="328">
      <c r="A328">
        <f>IFERROR(__xludf.DUMMYFUNCTION("""COMPUTED_VALUE"""),40.6879278)</f>
        <v>40.6879278</v>
      </c>
      <c r="B328">
        <f>IFERROR(__xludf.DUMMYFUNCTION("""COMPUTED_VALUE"""),16.6712004)</f>
        <v>16.6712004</v>
      </c>
      <c r="C328" t="str">
        <f>IFERROR(__xludf.DUMMYFUNCTION("""COMPUTED_VALUE"""),"Casa Vacanza")</f>
        <v>Casa Vacanza</v>
      </c>
      <c r="D328" t="str">
        <f>IFERROR(__xludf.DUMMYFUNCTION("""COMPUTED_VALUE"""),"LE SPIGHE D'ORO")</f>
        <v>LE SPIGHE D'ORO</v>
      </c>
      <c r="E328" t="str">
        <f>IFERROR(__xludf.DUMMYFUNCTION("""COMPUTED_VALUE"""),"STEFANO D'EFFREMO")</f>
        <v>STEFANO D'EFFREMO</v>
      </c>
      <c r="F328" t="str">
        <f>IFERROR(__xludf.DUMMYFUNCTION("""COMPUTED_VALUE"""),"CONTRADA TORRE SPAGNOLA")</f>
        <v>CONTRADA TORRE SPAGNOLA</v>
      </c>
      <c r="G328" t="str">
        <f>IFERROR(__xludf.DUMMYFUNCTION("""COMPUTED_VALUE"""),"Matera")</f>
        <v>Matera</v>
      </c>
      <c r="H328" t="str">
        <f>IFERROR(__xludf.DUMMYFUNCTION("""COMPUTED_VALUE"""),"Italy")</f>
        <v>Italy</v>
      </c>
      <c r="I328">
        <f>IFERROR(__xludf.DUMMYFUNCTION("""COMPUTED_VALUE"""),561.0)</f>
        <v>561</v>
      </c>
      <c r="J328">
        <f>IFERROR(__xludf.DUMMYFUNCTION("""COMPUTED_VALUE"""),2.0)</f>
        <v>2</v>
      </c>
      <c r="K328">
        <f>IFERROR(__xludf.DUMMYFUNCTION("""COMPUTED_VALUE"""),56.0)</f>
        <v>56</v>
      </c>
      <c r="L328" t="str">
        <f>IFERROR(__xludf.DUMMYFUNCTION("""COMPUTED_VALUE"""),"DFFSFN48C01I330G")</f>
        <v>DFFSFN48C01I330G</v>
      </c>
      <c r="M328">
        <f>IFERROR(__xludf.DUMMYFUNCTION("""COMPUTED_VALUE"""),3.0)</f>
        <v>3</v>
      </c>
      <c r="N328">
        <f>IFERROR(__xludf.DUMMYFUNCTION("""COMPUTED_VALUE"""),42461.0)</f>
        <v>42461</v>
      </c>
      <c r="O328" t="str">
        <f>IFERROR(__xludf.DUMMYFUNCTION("""COMPUTED_VALUE"""),"")</f>
        <v/>
      </c>
    </row>
    <row r="329">
      <c r="A329">
        <f>IFERROR(__xludf.DUMMYFUNCTION("""COMPUTED_VALUE"""),40.660948)</f>
        <v>40.660948</v>
      </c>
      <c r="B329">
        <f>IFERROR(__xludf.DUMMYFUNCTION("""COMPUTED_VALUE"""),16.6129725)</f>
        <v>16.6129725</v>
      </c>
      <c r="C329" t="str">
        <f>IFERROR(__xludf.DUMMYFUNCTION("""COMPUTED_VALUE"""),"Casa Vacanza")</f>
        <v>Casa Vacanza</v>
      </c>
      <c r="D329" t="str">
        <f>IFERROR(__xludf.DUMMYFUNCTION("""COMPUTED_VALUE"""),"LE STELLE SASSI")</f>
        <v>LE STELLE SASSI</v>
      </c>
      <c r="E329" t="str">
        <f>IFERROR(__xludf.DUMMYFUNCTION("""COMPUTED_VALUE"""),"GIOVANNI STELLA")</f>
        <v>GIOVANNI STELLA</v>
      </c>
      <c r="F329" t="str">
        <f>IFERROR(__xludf.DUMMYFUNCTION("""COMPUTED_VALUE"""),"VIA CASALNUOVO 129")</f>
        <v>VIA CASALNUOVO 129</v>
      </c>
      <c r="G329" t="str">
        <f>IFERROR(__xludf.DUMMYFUNCTION("""COMPUTED_VALUE"""),"Matera")</f>
        <v>Matera</v>
      </c>
      <c r="H329" t="str">
        <f>IFERROR(__xludf.DUMMYFUNCTION("""COMPUTED_VALUE"""),"Italy")</f>
        <v>Italy</v>
      </c>
      <c r="I329">
        <f>IFERROR(__xludf.DUMMYFUNCTION("""COMPUTED_VALUE"""),2464.0)</f>
        <v>2464</v>
      </c>
      <c r="J329">
        <f>IFERROR(__xludf.DUMMYFUNCTION("""COMPUTED_VALUE"""),6.0)</f>
        <v>6</v>
      </c>
      <c r="K329">
        <f>IFERROR(__xludf.DUMMYFUNCTION("""COMPUTED_VALUE"""),159.0)</f>
        <v>159</v>
      </c>
      <c r="L329" t="str">
        <f>IFERROR(__xludf.DUMMYFUNCTION("""COMPUTED_VALUE"""),"STLGNN80R20F052Q")</f>
        <v>STLGNN80R20F052Q</v>
      </c>
      <c r="M329">
        <f>IFERROR(__xludf.DUMMYFUNCTION("""COMPUTED_VALUE"""),4.0)</f>
        <v>4</v>
      </c>
      <c r="N329">
        <f>IFERROR(__xludf.DUMMYFUNCTION("""COMPUTED_VALUE"""),42531.0)</f>
        <v>42531</v>
      </c>
      <c r="O329" t="str">
        <f>IFERROR(__xludf.DUMMYFUNCTION("""COMPUTED_VALUE"""),"")</f>
        <v/>
      </c>
    </row>
    <row r="330">
      <c r="A330">
        <f>IFERROR(__xludf.DUMMYFUNCTION("""COMPUTED_VALUE"""),40.6705570350974)</f>
        <v>40.67055704</v>
      </c>
      <c r="B330">
        <f>IFERROR(__xludf.DUMMYFUNCTION("""COMPUTED_VALUE"""),16.6084307779889)</f>
        <v>16.60843078</v>
      </c>
      <c r="C330" t="str">
        <f>IFERROR(__xludf.DUMMYFUNCTION("""COMPUTED_VALUE"""),"Casa Vacanza")</f>
        <v>Casa Vacanza</v>
      </c>
      <c r="D330" t="str">
        <f>IFERROR(__xludf.DUMMYFUNCTION("""COMPUTED_VALUE"""),"LE VIOLETTE")</f>
        <v>LE VIOLETTE</v>
      </c>
      <c r="E330" t="str">
        <f>IFERROR(__xludf.DUMMYFUNCTION("""COMPUTED_VALUE"""),"FRANCESCA LOCANTORE")</f>
        <v>FRANCESCA LOCANTORE</v>
      </c>
      <c r="F330" t="str">
        <f>IFERROR(__xludf.DUMMYFUNCTION("""COMPUTED_VALUE"""),"VIA G.B. PENTASUGLIA 8")</f>
        <v>VIA G.B. PENTASUGLIA 8</v>
      </c>
      <c r="G330" t="str">
        <f>IFERROR(__xludf.DUMMYFUNCTION("""COMPUTED_VALUE"""),"Matera")</f>
        <v>Matera</v>
      </c>
      <c r="H330" t="str">
        <f>IFERROR(__xludf.DUMMYFUNCTION("""COMPUTED_VALUE"""),"Italy")</f>
        <v>Italy</v>
      </c>
      <c r="I330">
        <f>IFERROR(__xludf.DUMMYFUNCTION("""COMPUTED_VALUE"""),28.0)</f>
        <v>28</v>
      </c>
      <c r="J330">
        <f>IFERROR(__xludf.DUMMYFUNCTION("""COMPUTED_VALUE"""),23.0)</f>
        <v>23</v>
      </c>
      <c r="K330">
        <f>IFERROR(__xludf.DUMMYFUNCTION("""COMPUTED_VALUE"""),159.0)</f>
        <v>159</v>
      </c>
      <c r="L330" t="str">
        <f>IFERROR(__xludf.DUMMYFUNCTION("""COMPUTED_VALUE"""),"LCNFNC90L50L109M")</f>
        <v>LCNFNC90L50L109M</v>
      </c>
      <c r="M330">
        <f>IFERROR(__xludf.DUMMYFUNCTION("""COMPUTED_VALUE"""),4.0)</f>
        <v>4</v>
      </c>
      <c r="N330">
        <f>IFERROR(__xludf.DUMMYFUNCTION("""COMPUTED_VALUE"""),42780.0)</f>
        <v>42780</v>
      </c>
      <c r="O330" t="str">
        <f>IFERROR(__xludf.DUMMYFUNCTION("""COMPUTED_VALUE"""),"")</f>
        <v/>
      </c>
    </row>
    <row r="331">
      <c r="A331">
        <f>IFERROR(__xludf.DUMMYFUNCTION("""COMPUTED_VALUE"""),40.6630901)</f>
        <v>40.6630901</v>
      </c>
      <c r="B331">
        <f>IFERROR(__xludf.DUMMYFUNCTION("""COMPUTED_VALUE"""),16.610667)</f>
        <v>16.610667</v>
      </c>
      <c r="C331" t="str">
        <f>IFERROR(__xludf.DUMMYFUNCTION("""COMPUTED_VALUE"""),"Casa Vacanza")</f>
        <v>Casa Vacanza</v>
      </c>
      <c r="D331" t="str">
        <f>IFERROR(__xludf.DUMMYFUNCTION("""COMPUTED_VALUE"""),"LO SCORCIO")</f>
        <v>LO SCORCIO</v>
      </c>
      <c r="E331" t="str">
        <f>IFERROR(__xludf.DUMMYFUNCTION("""COMPUTED_VALUE"""),"DAVIDE CANDELA")</f>
        <v>DAVIDE CANDELA</v>
      </c>
      <c r="F331" t="str">
        <f>IFERROR(__xludf.DUMMYFUNCTION("""COMPUTED_VALUE"""),"CALATA RIDOLA 4")</f>
        <v>CALATA RIDOLA 4</v>
      </c>
      <c r="G331" t="str">
        <f>IFERROR(__xludf.DUMMYFUNCTION("""COMPUTED_VALUE"""),"Matera")</f>
        <v>Matera</v>
      </c>
      <c r="H331" t="str">
        <f>IFERROR(__xludf.DUMMYFUNCTION("""COMPUTED_VALUE"""),"Italy")</f>
        <v>Italy</v>
      </c>
      <c r="I331">
        <f>IFERROR(__xludf.DUMMYFUNCTION("""COMPUTED_VALUE"""),2010.0)</f>
        <v>2010</v>
      </c>
      <c r="J331">
        <f>IFERROR(__xludf.DUMMYFUNCTION("""COMPUTED_VALUE"""),4.0)</f>
        <v>4</v>
      </c>
      <c r="K331">
        <f>IFERROR(__xludf.DUMMYFUNCTION("""COMPUTED_VALUE"""),159.0)</f>
        <v>159</v>
      </c>
      <c r="L331" t="str">
        <f>IFERROR(__xludf.DUMMYFUNCTION("""COMPUTED_VALUE"""),"CNDDVD88M30I418A")</f>
        <v>CNDDVD88M30I418A</v>
      </c>
      <c r="M331">
        <f>IFERROR(__xludf.DUMMYFUNCTION("""COMPUTED_VALUE"""),6.0)</f>
        <v>6</v>
      </c>
      <c r="N331">
        <f>IFERROR(__xludf.DUMMYFUNCTION("""COMPUTED_VALUE"""),42135.0)</f>
        <v>42135</v>
      </c>
      <c r="O331" t="str">
        <f>IFERROR(__xludf.DUMMYFUNCTION("""COMPUTED_VALUE"""),"")</f>
        <v/>
      </c>
    </row>
    <row r="332">
      <c r="A332">
        <f>IFERROR(__xludf.DUMMYFUNCTION("""COMPUTED_VALUE"""),40.671011284731)</f>
        <v>40.67101128</v>
      </c>
      <c r="B332">
        <f>IFERROR(__xludf.DUMMYFUNCTION("""COMPUTED_VALUE"""),16.5744766536377)</f>
        <v>16.57447665</v>
      </c>
      <c r="C332" t="str">
        <f>IFERROR(__xludf.DUMMYFUNCTION("""COMPUTED_VALUE"""),"Casa Vacanza")</f>
        <v>Casa Vacanza</v>
      </c>
      <c r="D332" t="str">
        <f>IFERROR(__xludf.DUMMYFUNCTION("""COMPUTED_VALUE"""),"LO SCRIGNO")</f>
        <v>LO SCRIGNO</v>
      </c>
      <c r="E332" t="str">
        <f>IFERROR(__xludf.DUMMYFUNCTION("""COMPUTED_VALUE"""),"D'ERCOLE FRANCESCO PAOLO")</f>
        <v>D'ERCOLE FRANCESCO PAOLO</v>
      </c>
      <c r="F332" t="str">
        <f>IFERROR(__xludf.DUMMYFUNCTION("""COMPUTED_VALUE"""),"VIA 1 MAGGIO 21")</f>
        <v>VIA 1 MAGGIO 21</v>
      </c>
      <c r="G332" t="str">
        <f>IFERROR(__xludf.DUMMYFUNCTION("""COMPUTED_VALUE"""),"Matera")</f>
        <v>Matera</v>
      </c>
      <c r="H332" t="str">
        <f>IFERROR(__xludf.DUMMYFUNCTION("""COMPUTED_VALUE"""),"Italy")</f>
        <v>Italy</v>
      </c>
      <c r="I332">
        <f>IFERROR(__xludf.DUMMYFUNCTION("""COMPUTED_VALUE"""),383.0)</f>
        <v>383</v>
      </c>
      <c r="J332">
        <f>IFERROR(__xludf.DUMMYFUNCTION("""COMPUTED_VALUE"""),7.0)</f>
        <v>7</v>
      </c>
      <c r="K332">
        <f>IFERROR(__xludf.DUMMYFUNCTION("""COMPUTED_VALUE"""),67.0)</f>
        <v>67</v>
      </c>
      <c r="L332" t="str">
        <f>IFERROR(__xludf.DUMMYFUNCTION("""COMPUTED_VALUE"""),"DRCFNC35S30F052W")</f>
        <v>DRCFNC35S30F052W</v>
      </c>
      <c r="M332">
        <f>IFERROR(__xludf.DUMMYFUNCTION("""COMPUTED_VALUE"""),4.0)</f>
        <v>4</v>
      </c>
      <c r="N332">
        <f>IFERROR(__xludf.DUMMYFUNCTION("""COMPUTED_VALUE"""),42406.0)</f>
        <v>42406</v>
      </c>
      <c r="O332" t="str">
        <f>IFERROR(__xludf.DUMMYFUNCTION("""COMPUTED_VALUE"""),"")</f>
        <v/>
      </c>
    </row>
    <row r="333">
      <c r="A333">
        <f>IFERROR(__xludf.DUMMYFUNCTION("""COMPUTED_VALUE"""),40.6662496742811)</f>
        <v>40.66624967</v>
      </c>
      <c r="B333">
        <f>IFERROR(__xludf.DUMMYFUNCTION("""COMPUTED_VALUE"""),16.6088114187256)</f>
        <v>16.60881142</v>
      </c>
      <c r="C333" t="str">
        <f>IFERROR(__xludf.DUMMYFUNCTION("""COMPUTED_VALUE"""),"Casa Vacanza")</f>
        <v>Casa Vacanza</v>
      </c>
      <c r="D333" t="str">
        <f>IFERROR(__xludf.DUMMYFUNCTION("""COMPUTED_VALUE"""),"LOC.DIS.MARTINO CASAGROTTA")</f>
        <v>LOC.DIS.MARTINO CASAGROTTA</v>
      </c>
      <c r="E333" t="str">
        <f>IFERROR(__xludf.DUMMYFUNCTION("""COMPUTED_VALUE"""),"CE.D.A.T.S. SRL")</f>
        <v>CE.D.A.T.S. SRL</v>
      </c>
      <c r="F333" t="str">
        <f>IFERROR(__xludf.DUMMYFUNCTION("""COMPUTED_VALUE"""),"VIA SAN VITO 30")</f>
        <v>VIA SAN VITO 30</v>
      </c>
      <c r="G333" t="str">
        <f>IFERROR(__xludf.DUMMYFUNCTION("""COMPUTED_VALUE"""),"Matera")</f>
        <v>Matera</v>
      </c>
      <c r="H333" t="str">
        <f>IFERROR(__xludf.DUMMYFUNCTION("""COMPUTED_VALUE"""),"Italy")</f>
        <v>Italy</v>
      </c>
      <c r="I333">
        <f>IFERROR(__xludf.DUMMYFUNCTION("""COMPUTED_VALUE"""),709.0)</f>
        <v>709</v>
      </c>
      <c r="J333">
        <f>IFERROR(__xludf.DUMMYFUNCTION("""COMPUTED_VALUE"""),6.0)</f>
        <v>6</v>
      </c>
      <c r="K333">
        <f>IFERROR(__xludf.DUMMYFUNCTION("""COMPUTED_VALUE"""),159.0)</f>
        <v>159</v>
      </c>
      <c r="L333">
        <f>IFERROR(__xludf.DUMMYFUNCTION("""COMPUTED_VALUE"""),6.65190773E8)</f>
        <v>665190773</v>
      </c>
      <c r="M333">
        <f>IFERROR(__xludf.DUMMYFUNCTION("""COMPUTED_VALUE"""),4.0)</f>
        <v>4</v>
      </c>
      <c r="N333">
        <f>IFERROR(__xludf.DUMMYFUNCTION("""COMPUTED_VALUE"""),43089.0)</f>
        <v>43089</v>
      </c>
      <c r="O333" t="str">
        <f>IFERROR(__xludf.DUMMYFUNCTION("""COMPUTED_VALUE"""),"")</f>
        <v/>
      </c>
    </row>
    <row r="334">
      <c r="A334">
        <f>IFERROR(__xludf.DUMMYFUNCTION("""COMPUTED_VALUE"""),40.659489)</f>
        <v>40.659489</v>
      </c>
      <c r="B334">
        <f>IFERROR(__xludf.DUMMYFUNCTION("""COMPUTED_VALUE"""),16.6142328)</f>
        <v>16.6142328</v>
      </c>
      <c r="C334" t="str">
        <f>IFERROR(__xludf.DUMMYFUNCTION("""COMPUTED_VALUE"""),"Casa Vacanza")</f>
        <v>Casa Vacanza</v>
      </c>
      <c r="D334" t="str">
        <f>IFERROR(__xludf.DUMMYFUNCTION("""COMPUTED_VALUE"""),"LOFT 2 9 1")</f>
        <v>LOFT 2 9 1</v>
      </c>
      <c r="E334" t="str">
        <f>IFERROR(__xludf.DUMMYFUNCTION("""COMPUTED_VALUE"""),"VENTURA MICHELE")</f>
        <v>VENTURA MICHELE</v>
      </c>
      <c r="F334" t="str">
        <f>IFERROR(__xludf.DUMMYFUNCTION("""COMPUTED_VALUE"""),"VIA LUCANA  291")</f>
        <v>VIA LUCANA  291</v>
      </c>
      <c r="G334" t="str">
        <f>IFERROR(__xludf.DUMMYFUNCTION("""COMPUTED_VALUE"""),"Matera")</f>
        <v>Matera</v>
      </c>
      <c r="H334" t="str">
        <f>IFERROR(__xludf.DUMMYFUNCTION("""COMPUTED_VALUE"""),"Italy")</f>
        <v>Italy</v>
      </c>
      <c r="I334">
        <f>IFERROR(__xludf.DUMMYFUNCTION("""COMPUTED_VALUE"""),4002.0)</f>
        <v>4002</v>
      </c>
      <c r="J334" t="str">
        <f>IFERROR(__xludf.DUMMYFUNCTION("""COMPUTED_VALUE"""),"")</f>
        <v/>
      </c>
      <c r="K334">
        <f>IFERROR(__xludf.DUMMYFUNCTION("""COMPUTED_VALUE"""),159.0)</f>
        <v>159</v>
      </c>
      <c r="L334" t="str">
        <f>IFERROR(__xludf.DUMMYFUNCTION("""COMPUTED_VALUE"""),"VNTMHL79B26E038R")</f>
        <v>VNTMHL79B26E038R</v>
      </c>
      <c r="M334">
        <f>IFERROR(__xludf.DUMMYFUNCTION("""COMPUTED_VALUE"""),4.0)</f>
        <v>4</v>
      </c>
      <c r="N334">
        <f>IFERROR(__xludf.DUMMYFUNCTION("""COMPUTED_VALUE"""),42452.0)</f>
        <v>42452</v>
      </c>
      <c r="O334" t="str">
        <f>IFERROR(__xludf.DUMMYFUNCTION("""COMPUTED_VALUE"""),"")</f>
        <v/>
      </c>
    </row>
    <row r="335">
      <c r="A335">
        <f>IFERROR(__xludf.DUMMYFUNCTION("""COMPUTED_VALUE"""),40.6658171)</f>
        <v>40.6658171</v>
      </c>
      <c r="B335">
        <f>IFERROR(__xludf.DUMMYFUNCTION("""COMPUTED_VALUE"""),16.6054523)</f>
        <v>16.6054523</v>
      </c>
      <c r="C335" t="str">
        <f>IFERROR(__xludf.DUMMYFUNCTION("""COMPUTED_VALUE"""),"Casa Vacanza")</f>
        <v>Casa Vacanza</v>
      </c>
      <c r="D335" t="str">
        <f>IFERROR(__xludf.DUMMYFUNCTION("""COMPUTED_VALUE"""),"LOFT 79")</f>
        <v>LOFT 79</v>
      </c>
      <c r="E335" t="str">
        <f>IFERROR(__xludf.DUMMYFUNCTION("""COMPUTED_VALUE"""),"FRANCESCA LUCIA BIA")</f>
        <v>FRANCESCA LUCIA BIA</v>
      </c>
      <c r="F335" t="str">
        <f>IFERROR(__xludf.DUMMYFUNCTION("""COMPUTED_VALUE"""),"VIA LUCANA 79")</f>
        <v>VIA LUCANA 79</v>
      </c>
      <c r="G335" t="str">
        <f>IFERROR(__xludf.DUMMYFUNCTION("""COMPUTED_VALUE"""),"Matera")</f>
        <v>Matera</v>
      </c>
      <c r="H335" t="str">
        <f>IFERROR(__xludf.DUMMYFUNCTION("""COMPUTED_VALUE"""),"Italy")</f>
        <v>Italy</v>
      </c>
      <c r="I335">
        <f>IFERROR(__xludf.DUMMYFUNCTION("""COMPUTED_VALUE"""),2784.0)</f>
        <v>2784</v>
      </c>
      <c r="J335">
        <f>IFERROR(__xludf.DUMMYFUNCTION("""COMPUTED_VALUE"""),8.0)</f>
        <v>8</v>
      </c>
      <c r="K335">
        <f>IFERROR(__xludf.DUMMYFUNCTION("""COMPUTED_VALUE"""),159.0)</f>
        <v>159</v>
      </c>
      <c r="L335" t="str">
        <f>IFERROR(__xludf.DUMMYFUNCTION("""COMPUTED_VALUE"""),"BIAFNC78P20F052F")</f>
        <v>BIAFNC78P20F052F</v>
      </c>
      <c r="M335">
        <f>IFERROR(__xludf.DUMMYFUNCTION("""COMPUTED_VALUE"""),2.0)</f>
        <v>2</v>
      </c>
      <c r="N335">
        <f>IFERROR(__xludf.DUMMYFUNCTION("""COMPUTED_VALUE"""),42788.0)</f>
        <v>42788</v>
      </c>
      <c r="O335" t="str">
        <f>IFERROR(__xludf.DUMMYFUNCTION("""COMPUTED_VALUE"""),"")</f>
        <v/>
      </c>
    </row>
    <row r="336">
      <c r="A336">
        <f>IFERROR(__xludf.DUMMYFUNCTION("""COMPUTED_VALUE"""),40.6730073409463)</f>
        <v>40.67300734</v>
      </c>
      <c r="B336">
        <f>IFERROR(__xludf.DUMMYFUNCTION("""COMPUTED_VALUE"""),16.6081265319231)</f>
        <v>16.60812653</v>
      </c>
      <c r="C336" t="str">
        <f>IFERROR(__xludf.DUMMYFUNCTION("""COMPUTED_VALUE"""),"Casa Vacanza")</f>
        <v>Casa Vacanza</v>
      </c>
      <c r="D336" t="str">
        <f>IFERROR(__xludf.DUMMYFUNCTION("""COMPUTED_VALUE"""),"LORENZO IL MAGNIFICO")</f>
        <v>LORENZO IL MAGNIFICO</v>
      </c>
      <c r="E336" t="str">
        <f>IFERROR(__xludf.DUMMYFUNCTION("""COMPUTED_VALUE"""),"ANTONIA TARASCO")</f>
        <v>ANTONIA TARASCO</v>
      </c>
      <c r="F336" t="str">
        <f>IFERROR(__xludf.DUMMYFUNCTION("""COMPUTED_VALUE"""),"VIA SANTO STEFANO 66")</f>
        <v>VIA SANTO STEFANO 66</v>
      </c>
      <c r="G336" t="str">
        <f>IFERROR(__xludf.DUMMYFUNCTION("""COMPUTED_VALUE"""),"Matera")</f>
        <v>Matera</v>
      </c>
      <c r="H336" t="str">
        <f>IFERROR(__xludf.DUMMYFUNCTION("""COMPUTED_VALUE"""),"Italy")</f>
        <v>Italy</v>
      </c>
      <c r="I336">
        <f>IFERROR(__xludf.DUMMYFUNCTION("""COMPUTED_VALUE"""),20.0)</f>
        <v>20</v>
      </c>
      <c r="J336">
        <f>IFERROR(__xludf.DUMMYFUNCTION("""COMPUTED_VALUE"""),16.0)</f>
        <v>16</v>
      </c>
      <c r="K336">
        <f>IFERROR(__xludf.DUMMYFUNCTION("""COMPUTED_VALUE"""),72.0)</f>
        <v>72</v>
      </c>
      <c r="L336" t="str">
        <f>IFERROR(__xludf.DUMMYFUNCTION("""COMPUTED_VALUE"""),"TRSNTN67T41F052J")</f>
        <v>TRSNTN67T41F052J</v>
      </c>
      <c r="M336">
        <f>IFERROR(__xludf.DUMMYFUNCTION("""COMPUTED_VALUE"""),4.0)</f>
        <v>4</v>
      </c>
      <c r="N336">
        <f>IFERROR(__xludf.DUMMYFUNCTION("""COMPUTED_VALUE"""),43150.0)</f>
        <v>43150</v>
      </c>
      <c r="O336" t="str">
        <f>IFERROR(__xludf.DUMMYFUNCTION("""COMPUTED_VALUE"""),"")</f>
        <v/>
      </c>
    </row>
    <row r="337">
      <c r="A337">
        <f>IFERROR(__xludf.DUMMYFUNCTION("""COMPUTED_VALUE"""),40.6664899)</f>
        <v>40.6664899</v>
      </c>
      <c r="B337">
        <f>IFERROR(__xludf.DUMMYFUNCTION("""COMPUTED_VALUE"""),16.5965285)</f>
        <v>16.5965285</v>
      </c>
      <c r="C337" t="str">
        <f>IFERROR(__xludf.DUMMYFUNCTION("""COMPUTED_VALUE"""),"Casa Vacanza")</f>
        <v>Casa Vacanza</v>
      </c>
      <c r="D337" t="str">
        <f>IFERROR(__xludf.DUMMYFUNCTION("""COMPUTED_VALUE"""),"MACAMARDA")</f>
        <v>MACAMARDA</v>
      </c>
      <c r="E337" t="str">
        <f>IFERROR(__xludf.DUMMYFUNCTION("""COMPUTED_VALUE"""),"MARIA BRUNA RICCARDI")</f>
        <v>MARIA BRUNA RICCARDI</v>
      </c>
      <c r="F337" t="str">
        <f>IFERROR(__xludf.DUMMYFUNCTION("""COMPUTED_VALUE"""),"VIA SARAGAT 12")</f>
        <v>VIA SARAGAT 12</v>
      </c>
      <c r="G337" t="str">
        <f>IFERROR(__xludf.DUMMYFUNCTION("""COMPUTED_VALUE"""),"Matera")</f>
        <v>Matera</v>
      </c>
      <c r="H337" t="str">
        <f>IFERROR(__xludf.DUMMYFUNCTION("""COMPUTED_VALUE"""),"Italy")</f>
        <v>Italy</v>
      </c>
      <c r="I337">
        <f>IFERROR(__xludf.DUMMYFUNCTION("""COMPUTED_VALUE"""),2149.0)</f>
        <v>2149</v>
      </c>
      <c r="J337">
        <f>IFERROR(__xludf.DUMMYFUNCTION("""COMPUTED_VALUE"""),63.0)</f>
        <v>63</v>
      </c>
      <c r="K337">
        <f>IFERROR(__xludf.DUMMYFUNCTION("""COMPUTED_VALUE"""),71.0)</f>
        <v>71</v>
      </c>
      <c r="L337" t="str">
        <f>IFERROR(__xludf.DUMMYFUNCTION("""COMPUTED_VALUE"""),"RCCMBR67C57F052F")</f>
        <v>RCCMBR67C57F052F</v>
      </c>
      <c r="M337">
        <f>IFERROR(__xludf.DUMMYFUNCTION("""COMPUTED_VALUE"""),2.0)</f>
        <v>2</v>
      </c>
      <c r="N337">
        <f>IFERROR(__xludf.DUMMYFUNCTION("""COMPUTED_VALUE"""),42467.0)</f>
        <v>42467</v>
      </c>
      <c r="O337" t="str">
        <f>IFERROR(__xludf.DUMMYFUNCTION("""COMPUTED_VALUE"""),"")</f>
        <v/>
      </c>
    </row>
    <row r="338">
      <c r="A338">
        <f>IFERROR(__xludf.DUMMYFUNCTION("""COMPUTED_VALUE"""),40.6690740361237)</f>
        <v>40.66907404</v>
      </c>
      <c r="B338">
        <f>IFERROR(__xludf.DUMMYFUNCTION("""COMPUTED_VALUE"""),16.6104048955089)</f>
        <v>16.6104049</v>
      </c>
      <c r="C338" t="str">
        <f>IFERROR(__xludf.DUMMYFUNCTION("""COMPUTED_VALUE"""),"Casa Vacanza")</f>
        <v>Casa Vacanza</v>
      </c>
      <c r="D338" t="str">
        <f>IFERROR(__xludf.DUMMYFUNCTION("""COMPUTED_VALUE"""),"MADONNA DEGLI ANGELI")</f>
        <v>MADONNA DEGLI ANGELI</v>
      </c>
      <c r="E338" t="str">
        <f>IFERROR(__xludf.DUMMYFUNCTION("""COMPUTED_VALUE"""),"GUIDO GALANTE")</f>
        <v>GUIDO GALANTE</v>
      </c>
      <c r="F338" t="str">
        <f>IFERROR(__xludf.DUMMYFUNCTION("""COMPUTED_VALUE"""),"VIA CASALE 59")</f>
        <v>VIA CASALE 59</v>
      </c>
      <c r="G338" t="str">
        <f>IFERROR(__xludf.DUMMYFUNCTION("""COMPUTED_VALUE"""),"Matera")</f>
        <v>Matera</v>
      </c>
      <c r="H338" t="str">
        <f>IFERROR(__xludf.DUMMYFUNCTION("""COMPUTED_VALUE"""),"Italy")</f>
        <v>Italy</v>
      </c>
      <c r="I338">
        <f>IFERROR(__xludf.DUMMYFUNCTION("""COMPUTED_VALUE"""),1025.0)</f>
        <v>1025</v>
      </c>
      <c r="J338">
        <f>IFERROR(__xludf.DUMMYFUNCTION("""COMPUTED_VALUE"""),3.0)</f>
        <v>3</v>
      </c>
      <c r="K338">
        <f>IFERROR(__xludf.DUMMYFUNCTION("""COMPUTED_VALUE"""),159.0)</f>
        <v>159</v>
      </c>
      <c r="L338" t="str">
        <f>IFERROR(__xludf.DUMMYFUNCTION("""COMPUTED_VALUE"""),"GLNGDU66T08F052T")</f>
        <v>GLNGDU66T08F052T</v>
      </c>
      <c r="M338">
        <f>IFERROR(__xludf.DUMMYFUNCTION("""COMPUTED_VALUE"""),8.0)</f>
        <v>8</v>
      </c>
      <c r="N338">
        <f>IFERROR(__xludf.DUMMYFUNCTION("""COMPUTED_VALUE"""),42172.0)</f>
        <v>42172</v>
      </c>
      <c r="O338">
        <f>IFERROR(__xludf.DUMMYFUNCTION("""COMPUTED_VALUE"""),1301.0)</f>
        <v>1301</v>
      </c>
    </row>
    <row r="339">
      <c r="A339">
        <f>IFERROR(__xludf.DUMMYFUNCTION("""COMPUTED_VALUE"""),40.6522251248381)</f>
        <v>40.65222512</v>
      </c>
      <c r="B339">
        <f>IFERROR(__xludf.DUMMYFUNCTION("""COMPUTED_VALUE"""),16.6171347735149)</f>
        <v>16.61713477</v>
      </c>
      <c r="C339" t="str">
        <f>IFERROR(__xludf.DUMMYFUNCTION("""COMPUTED_VALUE"""),"Casa Vacanza")</f>
        <v>Casa Vacanza</v>
      </c>
      <c r="D339" t="str">
        <f>IFERROR(__xludf.DUMMYFUNCTION("""COMPUTED_VALUE"""),"MADONNA DELLA BRUNA")</f>
        <v>MADONNA DELLA BRUNA</v>
      </c>
      <c r="E339" t="str">
        <f>IFERROR(__xludf.DUMMYFUNCTION("""COMPUTED_VALUE"""),"MALACARNE D. ANTONIO")</f>
        <v>MALACARNE D. ANTONIO</v>
      </c>
      <c r="F339" t="str">
        <f>IFERROR(__xludf.DUMMYFUNCTION("""COMPUTED_VALUE"""),"REC. MONTESCAGLIOSO 2B")</f>
        <v>REC. MONTESCAGLIOSO 2B</v>
      </c>
      <c r="G339" t="str">
        <f>IFERROR(__xludf.DUMMYFUNCTION("""COMPUTED_VALUE"""),"Matera")</f>
        <v>Matera</v>
      </c>
      <c r="H339" t="str">
        <f>IFERROR(__xludf.DUMMYFUNCTION("""COMPUTED_VALUE"""),"Italy")</f>
        <v>Italy</v>
      </c>
      <c r="I339">
        <f>IFERROR(__xludf.DUMMYFUNCTION("""COMPUTED_VALUE"""),297.0)</f>
        <v>297</v>
      </c>
      <c r="J339">
        <f>IFERROR(__xludf.DUMMYFUNCTION("""COMPUTED_VALUE"""),14.0)</f>
        <v>14</v>
      </c>
      <c r="K339">
        <f>IFERROR(__xludf.DUMMYFUNCTION("""COMPUTED_VALUE"""),105.0)</f>
        <v>105</v>
      </c>
      <c r="L339" t="str">
        <f>IFERROR(__xludf.DUMMYFUNCTION("""COMPUTED_VALUE"""),"MLCDNC53H20F052H")</f>
        <v>MLCDNC53H20F052H</v>
      </c>
      <c r="M339">
        <f>IFERROR(__xludf.DUMMYFUNCTION("""COMPUTED_VALUE"""),5.0)</f>
        <v>5</v>
      </c>
      <c r="N339">
        <f>IFERROR(__xludf.DUMMYFUNCTION("""COMPUTED_VALUE"""),42131.0)</f>
        <v>42131</v>
      </c>
      <c r="O339">
        <f>IFERROR(__xludf.DUMMYFUNCTION("""COMPUTED_VALUE"""),914.0)</f>
        <v>914</v>
      </c>
    </row>
    <row r="340">
      <c r="A340">
        <f>IFERROR(__xludf.DUMMYFUNCTION("""COMPUTED_VALUE"""),40.671825)</f>
        <v>40.671825</v>
      </c>
      <c r="B340">
        <f>IFERROR(__xludf.DUMMYFUNCTION("""COMPUTED_VALUE"""),16.6046436)</f>
        <v>16.6046436</v>
      </c>
      <c r="C340" t="str">
        <f>IFERROR(__xludf.DUMMYFUNCTION("""COMPUTED_VALUE"""),"Casa Vacanza")</f>
        <v>Casa Vacanza</v>
      </c>
      <c r="D340" t="str">
        <f>IFERROR(__xludf.DUMMYFUNCTION("""COMPUTED_VALUE"""),"MAJA")</f>
        <v>MAJA</v>
      </c>
      <c r="E340" t="str">
        <f>IFERROR(__xludf.DUMMYFUNCTION("""COMPUTED_VALUE"""),"GERARDO BARBETTA")</f>
        <v>GERARDO BARBETTA</v>
      </c>
      <c r="F340" t="str">
        <f>IFERROR(__xludf.DUMMYFUNCTION("""COMPUTED_VALUE"""),"VIA GIOLITTI 2")</f>
        <v>VIA GIOLITTI 2</v>
      </c>
      <c r="G340" t="str">
        <f>IFERROR(__xludf.DUMMYFUNCTION("""COMPUTED_VALUE"""),"Matera")</f>
        <v>Matera</v>
      </c>
      <c r="H340" t="str">
        <f>IFERROR(__xludf.DUMMYFUNCTION("""COMPUTED_VALUE"""),"Italy")</f>
        <v>Italy</v>
      </c>
      <c r="I340">
        <f>IFERROR(__xludf.DUMMYFUNCTION("""COMPUTED_VALUE"""),3629.0)</f>
        <v>3629</v>
      </c>
      <c r="J340">
        <f>IFERROR(__xludf.DUMMYFUNCTION("""COMPUTED_VALUE"""),11.0)</f>
        <v>11</v>
      </c>
      <c r="K340">
        <f>IFERROR(__xludf.DUMMYFUNCTION("""COMPUTED_VALUE"""),159.0)</f>
        <v>159</v>
      </c>
      <c r="L340" t="str">
        <f>IFERROR(__xludf.DUMMYFUNCTION("""COMPUTED_VALUE"""),"BRBGRD51L26F052H")</f>
        <v>BRBGRD51L26F052H</v>
      </c>
      <c r="M340">
        <f>IFERROR(__xludf.DUMMYFUNCTION("""COMPUTED_VALUE"""),6.0)</f>
        <v>6</v>
      </c>
      <c r="N340">
        <f>IFERROR(__xludf.DUMMYFUNCTION("""COMPUTED_VALUE"""),42674.0)</f>
        <v>42674</v>
      </c>
      <c r="O340" t="str">
        <f>IFERROR(__xludf.DUMMYFUNCTION("""COMPUTED_VALUE"""),"")</f>
        <v/>
      </c>
    </row>
    <row r="341">
      <c r="A341">
        <f>IFERROR(__xludf.DUMMYFUNCTION("""COMPUTED_VALUE"""),40.6653533)</f>
        <v>40.6653533</v>
      </c>
      <c r="B341">
        <f>IFERROR(__xludf.DUMMYFUNCTION("""COMPUTED_VALUE"""),16.6017289)</f>
        <v>16.6017289</v>
      </c>
      <c r="C341" t="str">
        <f>IFERROR(__xludf.DUMMYFUNCTION("""COMPUTED_VALUE"""),"Casa Vacanza")</f>
        <v>Casa Vacanza</v>
      </c>
      <c r="D341" t="str">
        <f>IFERROR(__xludf.DUMMYFUNCTION("""COMPUTED_VALUE"""),"MALU'")</f>
        <v>MALU'</v>
      </c>
      <c r="E341" t="str">
        <f>IFERROR(__xludf.DUMMYFUNCTION("""COMPUTED_VALUE"""),"DI LENA F. PAOLO")</f>
        <v>DI LENA F. PAOLO</v>
      </c>
      <c r="F341" t="str">
        <f>IFERROR(__xludf.DUMMYFUNCTION("""COMPUTED_VALUE"""),"VIA CAPPELLUTI 32")</f>
        <v>VIA CAPPELLUTI 32</v>
      </c>
      <c r="G341" t="str">
        <f>IFERROR(__xludf.DUMMYFUNCTION("""COMPUTED_VALUE"""),"Matera")</f>
        <v>Matera</v>
      </c>
      <c r="H341" t="str">
        <f>IFERROR(__xludf.DUMMYFUNCTION("""COMPUTED_VALUE"""),"Italy")</f>
        <v>Italy</v>
      </c>
      <c r="I341">
        <f>IFERROR(__xludf.DUMMYFUNCTION("""COMPUTED_VALUE"""),220.0)</f>
        <v>220</v>
      </c>
      <c r="J341">
        <f>IFERROR(__xludf.DUMMYFUNCTION("""COMPUTED_VALUE"""),20.0)</f>
        <v>20</v>
      </c>
      <c r="K341">
        <f>IFERROR(__xludf.DUMMYFUNCTION("""COMPUTED_VALUE"""),71.0)</f>
        <v>71</v>
      </c>
      <c r="L341" t="str">
        <f>IFERROR(__xludf.DUMMYFUNCTION("""COMPUTED_VALUE"""),"DLNFNC67T14F052X")</f>
        <v>DLNFNC67T14F052X</v>
      </c>
      <c r="M341">
        <f>IFERROR(__xludf.DUMMYFUNCTION("""COMPUTED_VALUE"""),2.0)</f>
        <v>2</v>
      </c>
      <c r="N341">
        <f>IFERROR(__xludf.DUMMYFUNCTION("""COMPUTED_VALUE"""),42248.0)</f>
        <v>42248</v>
      </c>
      <c r="O341">
        <f>IFERROR(__xludf.DUMMYFUNCTION("""COMPUTED_VALUE"""),1251.0)</f>
        <v>1251</v>
      </c>
    </row>
    <row r="342">
      <c r="A342">
        <f>IFERROR(__xludf.DUMMYFUNCTION("""COMPUTED_VALUE"""),40.6782757)</f>
        <v>40.6782757</v>
      </c>
      <c r="B342">
        <f>IFERROR(__xludf.DUMMYFUNCTION("""COMPUTED_VALUE"""),16.5932915)</f>
        <v>16.5932915</v>
      </c>
      <c r="C342" t="str">
        <f>IFERROR(__xludf.DUMMYFUNCTION("""COMPUTED_VALUE"""),"Casa Vacanza")</f>
        <v>Casa Vacanza</v>
      </c>
      <c r="D342" t="str">
        <f>IFERROR(__xludf.DUMMYFUNCTION("""COMPUTED_VALUE"""),"MAMAROSE")</f>
        <v>MAMAROSE</v>
      </c>
      <c r="E342" t="str">
        <f>IFERROR(__xludf.DUMMYFUNCTION("""COMPUTED_VALUE"""),"VITTORIO D'ERCOLE")</f>
        <v>VITTORIO D'ERCOLE</v>
      </c>
      <c r="F342" t="str">
        <f>IFERROR(__xludf.DUMMYFUNCTION("""COMPUTED_VALUE"""),"VIA SAN PARDO 31")</f>
        <v>VIA SAN PARDO 31</v>
      </c>
      <c r="G342" t="str">
        <f>IFERROR(__xludf.DUMMYFUNCTION("""COMPUTED_VALUE"""),"Matera")</f>
        <v>Matera</v>
      </c>
      <c r="H342" t="str">
        <f>IFERROR(__xludf.DUMMYFUNCTION("""COMPUTED_VALUE"""),"Italy")</f>
        <v>Italy</v>
      </c>
      <c r="I342">
        <f>IFERROR(__xludf.DUMMYFUNCTION("""COMPUTED_VALUE"""),4647.0)</f>
        <v>4647</v>
      </c>
      <c r="J342">
        <f>IFERROR(__xludf.DUMMYFUNCTION("""COMPUTED_VALUE"""),2.0)</f>
        <v>2</v>
      </c>
      <c r="K342">
        <f>IFERROR(__xludf.DUMMYFUNCTION("""COMPUTED_VALUE"""),159.0)</f>
        <v>159</v>
      </c>
      <c r="L342" t="str">
        <f>IFERROR(__xludf.DUMMYFUNCTION("""COMPUTED_VALUE"""),"DRCVTR87L15F052L")</f>
        <v>DRCVTR87L15F052L</v>
      </c>
      <c r="M342">
        <f>IFERROR(__xludf.DUMMYFUNCTION("""COMPUTED_VALUE"""),4.0)</f>
        <v>4</v>
      </c>
      <c r="N342">
        <f>IFERROR(__xludf.DUMMYFUNCTION("""COMPUTED_VALUE"""),42423.0)</f>
        <v>42423</v>
      </c>
      <c r="O342" t="str">
        <f>IFERROR(__xludf.DUMMYFUNCTION("""COMPUTED_VALUE"""),"")</f>
        <v/>
      </c>
    </row>
    <row r="343">
      <c r="A343">
        <f>IFERROR(__xludf.DUMMYFUNCTION("""COMPUTED_VALUE"""),40.6628644192919)</f>
        <v>40.66286442</v>
      </c>
      <c r="B343">
        <f>IFERROR(__xludf.DUMMYFUNCTION("""COMPUTED_VALUE"""),16.607460177567)</f>
        <v>16.60746018</v>
      </c>
      <c r="C343" t="str">
        <f>IFERROR(__xludf.DUMMYFUNCTION("""COMPUTED_VALUE"""),"Casa Vacanza")</f>
        <v>Casa Vacanza</v>
      </c>
      <c r="D343" t="str">
        <f>IFERROR(__xludf.DUMMYFUNCTION("""COMPUTED_VALUE"""),"MANU")</f>
        <v>MANU</v>
      </c>
      <c r="E343" t="str">
        <f>IFERROR(__xludf.DUMMYFUNCTION("""COMPUTED_VALUE"""),"MANUELA PATRUNO")</f>
        <v>MANUELA PATRUNO</v>
      </c>
      <c r="F343" t="str">
        <f>IFERROR(__xludf.DUMMYFUNCTION("""COMPUTED_VALUE"""),"VIA A. SERRAO 45")</f>
        <v>VIA A. SERRAO 45</v>
      </c>
      <c r="G343" t="str">
        <f>IFERROR(__xludf.DUMMYFUNCTION("""COMPUTED_VALUE"""),"Matera")</f>
        <v>Matera</v>
      </c>
      <c r="H343" t="str">
        <f>IFERROR(__xludf.DUMMYFUNCTION("""COMPUTED_VALUE"""),"Italy")</f>
        <v>Italy</v>
      </c>
      <c r="I343">
        <f>IFERROR(__xludf.DUMMYFUNCTION("""COMPUTED_VALUE"""),176.0)</f>
        <v>176</v>
      </c>
      <c r="J343">
        <f>IFERROR(__xludf.DUMMYFUNCTION("""COMPUTED_VALUE"""),5.0)</f>
        <v>5</v>
      </c>
      <c r="K343">
        <f>IFERROR(__xludf.DUMMYFUNCTION("""COMPUTED_VALUE"""),103.0)</f>
        <v>103</v>
      </c>
      <c r="L343" t="str">
        <f>IFERROR(__xludf.DUMMYFUNCTION("""COMPUTED_VALUE"""),"PTRMNL89T70F052J")</f>
        <v>PTRMNL89T70F052J</v>
      </c>
      <c r="M343">
        <f>IFERROR(__xludf.DUMMYFUNCTION("""COMPUTED_VALUE"""),6.0)</f>
        <v>6</v>
      </c>
      <c r="N343">
        <f>IFERROR(__xludf.DUMMYFUNCTION("""COMPUTED_VALUE"""),42398.0)</f>
        <v>42398</v>
      </c>
      <c r="O343" t="str">
        <f>IFERROR(__xludf.DUMMYFUNCTION("""COMPUTED_VALUE"""),"")</f>
        <v/>
      </c>
    </row>
    <row r="344">
      <c r="A344">
        <f>IFERROR(__xludf.DUMMYFUNCTION("""COMPUTED_VALUE"""),40.663697)</f>
        <v>40.663697</v>
      </c>
      <c r="B344">
        <f>IFERROR(__xludf.DUMMYFUNCTION("""COMPUTED_VALUE"""),16.609497)</f>
        <v>16.609497</v>
      </c>
      <c r="C344" t="str">
        <f>IFERROR(__xludf.DUMMYFUNCTION("""COMPUTED_VALUE"""),"Casa Vacanza")</f>
        <v>Casa Vacanza</v>
      </c>
      <c r="D344" t="str">
        <f>IFERROR(__xludf.DUMMYFUNCTION("""COMPUTED_VALUE"""),"MARTINO")</f>
        <v>MARTINO</v>
      </c>
      <c r="E344" t="str">
        <f>IFERROR(__xludf.DUMMYFUNCTION("""COMPUTED_VALUE"""),"RITA MARTINO")</f>
        <v>RITA MARTINO</v>
      </c>
      <c r="F344" t="str">
        <f>IFERROR(__xludf.DUMMYFUNCTION("""COMPUTED_VALUE"""),"VIA CASE NUOVE 21")</f>
        <v>VIA CASE NUOVE 21</v>
      </c>
      <c r="G344" t="str">
        <f>IFERROR(__xludf.DUMMYFUNCTION("""COMPUTED_VALUE"""),"Matera")</f>
        <v>Matera</v>
      </c>
      <c r="H344" t="str">
        <f>IFERROR(__xludf.DUMMYFUNCTION("""COMPUTED_VALUE"""),"Italy")</f>
        <v>Italy</v>
      </c>
      <c r="I344">
        <f>IFERROR(__xludf.DUMMYFUNCTION("""COMPUTED_VALUE"""),3770.0)</f>
        <v>3770</v>
      </c>
      <c r="J344">
        <f>IFERROR(__xludf.DUMMYFUNCTION("""COMPUTED_VALUE"""),14.0)</f>
        <v>14</v>
      </c>
      <c r="K344">
        <f>IFERROR(__xludf.DUMMYFUNCTION("""COMPUTED_VALUE"""),159.0)</f>
        <v>159</v>
      </c>
      <c r="L344" t="str">
        <f>IFERROR(__xludf.DUMMYFUNCTION("""COMPUTED_VALUE"""),"MRTRTI59T68F052J")</f>
        <v>MRTRTI59T68F052J</v>
      </c>
      <c r="M344">
        <f>IFERROR(__xludf.DUMMYFUNCTION("""COMPUTED_VALUE"""),4.0)</f>
        <v>4</v>
      </c>
      <c r="N344">
        <f>IFERROR(__xludf.DUMMYFUNCTION("""COMPUTED_VALUE"""),42121.0)</f>
        <v>42121</v>
      </c>
      <c r="O344">
        <f>IFERROR(__xludf.DUMMYFUNCTION("""COMPUTED_VALUE"""),945.0)</f>
        <v>945</v>
      </c>
    </row>
    <row r="345">
      <c r="A345">
        <f>IFERROR(__xludf.DUMMYFUNCTION("""COMPUTED_VALUE"""),40.6745472261985)</f>
        <v>40.67454723</v>
      </c>
      <c r="B345">
        <f>IFERROR(__xludf.DUMMYFUNCTION("""COMPUTED_VALUE"""),16.5732569685992)</f>
        <v>16.57325697</v>
      </c>
      <c r="C345" t="str">
        <f>IFERROR(__xludf.DUMMYFUNCTION("""COMPUTED_VALUE"""),"Casa Vacanza")</f>
        <v>Casa Vacanza</v>
      </c>
      <c r="D345" t="str">
        <f>IFERROR(__xludf.DUMMYFUNCTION("""COMPUTED_VALUE"""),"MASSERIA SANTA LUCIA")</f>
        <v>MASSERIA SANTA LUCIA</v>
      </c>
      <c r="E345" t="str">
        <f>IFERROR(__xludf.DUMMYFUNCTION("""COMPUTED_VALUE"""),"MASSERIA SANTA LUCIA SAS")</f>
        <v>MASSERIA SANTA LUCIA SAS</v>
      </c>
      <c r="F345" t="str">
        <f>IFERROR(__xludf.DUMMYFUNCTION("""COMPUTED_VALUE"""),"VIA DEI MESTIERI ")</f>
        <v>VIA DEI MESTIERI </v>
      </c>
      <c r="G345" t="str">
        <f>IFERROR(__xludf.DUMMYFUNCTION("""COMPUTED_VALUE"""),"Matera")</f>
        <v>Matera</v>
      </c>
      <c r="H345" t="str">
        <f>IFERROR(__xludf.DUMMYFUNCTION("""COMPUTED_VALUE"""),"Italy")</f>
        <v>Italy</v>
      </c>
      <c r="I345">
        <f>IFERROR(__xludf.DUMMYFUNCTION("""COMPUTED_VALUE"""),4070.0)</f>
        <v>4070</v>
      </c>
      <c r="J345">
        <f>IFERROR(__xludf.DUMMYFUNCTION("""COMPUTED_VALUE"""),2.0)</f>
        <v>2</v>
      </c>
      <c r="K345">
        <f>IFERROR(__xludf.DUMMYFUNCTION("""COMPUTED_VALUE"""),67.0)</f>
        <v>67</v>
      </c>
      <c r="L345">
        <f>IFERROR(__xludf.DUMMYFUNCTION("""COMPUTED_VALUE"""),1.228290779E9)</f>
        <v>1228290779</v>
      </c>
      <c r="M345">
        <f>IFERROR(__xludf.DUMMYFUNCTION("""COMPUTED_VALUE"""),10.0)</f>
        <v>10</v>
      </c>
      <c r="N345">
        <f>IFERROR(__xludf.DUMMYFUNCTION("""COMPUTED_VALUE"""),41744.0)</f>
        <v>41744</v>
      </c>
      <c r="O345" t="str">
        <f>IFERROR(__xludf.DUMMYFUNCTION("""COMPUTED_VALUE"""),"")</f>
        <v/>
      </c>
    </row>
    <row r="346">
      <c r="A346">
        <f>IFERROR(__xludf.DUMMYFUNCTION("""COMPUTED_VALUE"""),40.5898997)</f>
        <v>40.5898997</v>
      </c>
      <c r="B346">
        <f>IFERROR(__xludf.DUMMYFUNCTION("""COMPUTED_VALUE"""),16.5800268)</f>
        <v>16.5800268</v>
      </c>
      <c r="C346" t="str">
        <f>IFERROR(__xludf.DUMMYFUNCTION("""COMPUTED_VALUE"""),"Casa Vacanza")</f>
        <v>Casa Vacanza</v>
      </c>
      <c r="D346" t="str">
        <f>IFERROR(__xludf.DUMMYFUNCTION("""COMPUTED_VALUE"""),"MASSERIA SANTA LUCIA AL BRADANO")</f>
        <v>MASSERIA SANTA LUCIA AL BRADANO</v>
      </c>
      <c r="E346" t="str">
        <f>IFERROR(__xludf.DUMMYFUNCTION("""COMPUTED_VALUE"""),"TORTORELLI GIOVANNI")</f>
        <v>TORTORELLI GIOVANNI</v>
      </c>
      <c r="F346" t="str">
        <f>IFERROR(__xludf.DUMMYFUNCTION("""COMPUTED_VALUE"""),"C.DA SANTA LUCIA AL BRADANO")</f>
        <v>C.DA SANTA LUCIA AL BRADANO</v>
      </c>
      <c r="G346" t="str">
        <f>IFERROR(__xludf.DUMMYFUNCTION("""COMPUTED_VALUE"""),"Matera")</f>
        <v>Matera</v>
      </c>
      <c r="H346" t="str">
        <f>IFERROR(__xludf.DUMMYFUNCTION("""COMPUTED_VALUE"""),"Italy")</f>
        <v>Italy</v>
      </c>
      <c r="I346">
        <f>IFERROR(__xludf.DUMMYFUNCTION("""COMPUTED_VALUE"""),163.0)</f>
        <v>163</v>
      </c>
      <c r="J346">
        <f>IFERROR(__xludf.DUMMYFUNCTION("""COMPUTED_VALUE"""),1.0)</f>
        <v>1</v>
      </c>
      <c r="K346">
        <f>IFERROR(__xludf.DUMMYFUNCTION("""COMPUTED_VALUE"""),146.0)</f>
        <v>146</v>
      </c>
      <c r="L346">
        <f>IFERROR(__xludf.DUMMYFUNCTION("""COMPUTED_VALUE"""),6.6173077E8)</f>
        <v>661730770</v>
      </c>
      <c r="M346">
        <f>IFERROR(__xludf.DUMMYFUNCTION("""COMPUTED_VALUE"""),5.0)</f>
        <v>5</v>
      </c>
      <c r="N346">
        <f>IFERROR(__xludf.DUMMYFUNCTION("""COMPUTED_VALUE"""),42817.0)</f>
        <v>42817</v>
      </c>
      <c r="O346" t="str">
        <f>IFERROR(__xludf.DUMMYFUNCTION("""COMPUTED_VALUE"""),"")</f>
        <v/>
      </c>
    </row>
    <row r="347">
      <c r="A347">
        <f>IFERROR(__xludf.DUMMYFUNCTION("""COMPUTED_VALUE"""),40.6699089186854)</f>
        <v>40.66990892</v>
      </c>
      <c r="B347">
        <f>IFERROR(__xludf.DUMMYFUNCTION("""COMPUTED_VALUE"""),16.6074688618718)</f>
        <v>16.60746886</v>
      </c>
      <c r="C347" t="str">
        <f>IFERROR(__xludf.DUMMYFUNCTION("""COMPUTED_VALUE"""),"Casa Vacanza")</f>
        <v>Casa Vacanza</v>
      </c>
      <c r="D347" t="str">
        <f>IFERROR(__xludf.DUMMYFUNCTION("""COMPUTED_VALUE"""),"MATER CASA VACANZA")</f>
        <v>MATER CASA VACANZA</v>
      </c>
      <c r="E347" t="str">
        <f>IFERROR(__xludf.DUMMYFUNCTION("""COMPUTED_VALUE"""),"VINCENZO CIANCIA")</f>
        <v>VINCENZO CIANCIA</v>
      </c>
      <c r="F347" t="str">
        <f>IFERROR(__xludf.DUMMYFUNCTION("""COMPUTED_VALUE"""),"VIA ONOFRIO TATARANNI 14")</f>
        <v>VIA ONOFRIO TATARANNI 14</v>
      </c>
      <c r="G347" t="str">
        <f>IFERROR(__xludf.DUMMYFUNCTION("""COMPUTED_VALUE"""),"Matera")</f>
        <v>Matera</v>
      </c>
      <c r="H347" t="str">
        <f>IFERROR(__xludf.DUMMYFUNCTION("""COMPUTED_VALUE"""),"Italy")</f>
        <v>Italy</v>
      </c>
      <c r="I347">
        <f>IFERROR(__xludf.DUMMYFUNCTION("""COMPUTED_VALUE"""),3471.0)</f>
        <v>3471</v>
      </c>
      <c r="J347">
        <f>IFERROR(__xludf.DUMMYFUNCTION("""COMPUTED_VALUE"""),2.0)</f>
        <v>2</v>
      </c>
      <c r="K347">
        <f>IFERROR(__xludf.DUMMYFUNCTION("""COMPUTED_VALUE"""),159.0)</f>
        <v>159</v>
      </c>
      <c r="L347" t="str">
        <f>IFERROR(__xludf.DUMMYFUNCTION("""COMPUTED_VALUE"""),"CNCVCN79C31F052I")</f>
        <v>CNCVCN79C31F052I</v>
      </c>
      <c r="M347">
        <f>IFERROR(__xludf.DUMMYFUNCTION("""COMPUTED_VALUE"""),2.0)</f>
        <v>2</v>
      </c>
      <c r="N347">
        <f>IFERROR(__xludf.DUMMYFUNCTION("""COMPUTED_VALUE"""),42507.0)</f>
        <v>42507</v>
      </c>
      <c r="O347">
        <f>IFERROR(__xludf.DUMMYFUNCTION("""COMPUTED_VALUE"""),1431.0)</f>
        <v>1431</v>
      </c>
    </row>
    <row r="348">
      <c r="A348">
        <f>IFERROR(__xludf.DUMMYFUNCTION("""COMPUTED_VALUE"""),40.6675665929447)</f>
        <v>40.66756659</v>
      </c>
      <c r="B348">
        <f>IFERROR(__xludf.DUMMYFUNCTION("""COMPUTED_VALUE"""),16.6005495621502)</f>
        <v>16.60054956</v>
      </c>
      <c r="C348" t="str">
        <f>IFERROR(__xludf.DUMMYFUNCTION("""COMPUTED_VALUE"""),"Casa Vacanza")</f>
        <v>Casa Vacanza</v>
      </c>
      <c r="D348" t="str">
        <f>IFERROR(__xludf.DUMMYFUNCTION("""COMPUTED_VALUE"""),"MATERA CENTRAL HOLIDAY HOMESCALVELLO GERARDO")</f>
        <v>MATERA CENTRAL HOLIDAY HOMESCALVELLO GERARDO</v>
      </c>
      <c r="E348" t="str">
        <f>IFERROR(__xludf.DUMMYFUNCTION("""COMPUTED_VALUE"""),"")</f>
        <v/>
      </c>
      <c r="F348" t="str">
        <f>IFERROR(__xludf.DUMMYFUNCTION("""COMPUTED_VALUE"""),"VIA U. LA MALFA 58 - 3 UNITA' ABITATIVE")</f>
        <v>VIA U. LA MALFA 58 - 3 UNITA' ABITATIVE</v>
      </c>
      <c r="G348" t="str">
        <f>IFERROR(__xludf.DUMMYFUNCTION("""COMPUTED_VALUE"""),"Matera")</f>
        <v>Matera</v>
      </c>
      <c r="H348" t="str">
        <f>IFERROR(__xludf.DUMMYFUNCTION("""COMPUTED_VALUE"""),"Italy")</f>
        <v>Italy</v>
      </c>
      <c r="I348">
        <f>IFERROR(__xludf.DUMMYFUNCTION("""COMPUTED_VALUE"""),1887.0)</f>
        <v>1887</v>
      </c>
      <c r="J348">
        <f>IFERROR(__xludf.DUMMYFUNCTION("""COMPUTED_VALUE"""),39.0)</f>
        <v>39</v>
      </c>
      <c r="K348">
        <f>IFERROR(__xludf.DUMMYFUNCTION("""COMPUTED_VALUE"""),71.0)</f>
        <v>71</v>
      </c>
      <c r="L348" t="str">
        <f>IFERROR(__xludf.DUMMYFUNCTION("""COMPUTED_VALUE"""),"CLVGRD70M23F052Z")</f>
        <v>CLVGRD70M23F052Z</v>
      </c>
      <c r="M348">
        <f>IFERROR(__xludf.DUMMYFUNCTION("""COMPUTED_VALUE"""),6.0)</f>
        <v>6</v>
      </c>
      <c r="N348">
        <f>IFERROR(__xludf.DUMMYFUNCTION("""COMPUTED_VALUE"""),42704.0)</f>
        <v>42704</v>
      </c>
      <c r="O348" t="str">
        <f>IFERROR(__xludf.DUMMYFUNCTION("""COMPUTED_VALUE"""),"")</f>
        <v/>
      </c>
    </row>
    <row r="349">
      <c r="A349">
        <f>IFERROR(__xludf.DUMMYFUNCTION("""COMPUTED_VALUE"""),40.6728012)</f>
        <v>40.6728012</v>
      </c>
      <c r="B349">
        <f>IFERROR(__xludf.DUMMYFUNCTION("""COMPUTED_VALUE"""),16.6039014)</f>
        <v>16.6039014</v>
      </c>
      <c r="C349" t="str">
        <f>IFERROR(__xludf.DUMMYFUNCTION("""COMPUTED_VALUE"""),"Casa Vacanza")</f>
        <v>Casa Vacanza</v>
      </c>
      <c r="D349" t="str">
        <f>IFERROR(__xludf.DUMMYFUNCTION("""COMPUTED_VALUE"""),"MATERA DESIGN APARTMENTMIOLLA GIUSEPPE")</f>
        <v>MATERA DESIGN APARTMENTMIOLLA GIUSEPPE</v>
      </c>
      <c r="E349" t="str">
        <f>IFERROR(__xludf.DUMMYFUNCTION("""COMPUTED_VALUE"""),"")</f>
        <v/>
      </c>
      <c r="F349" t="str">
        <f>IFERROR(__xludf.DUMMYFUNCTION("""COMPUTED_VALUE"""),"VIA N. SOLE 30")</f>
        <v>VIA N. SOLE 30</v>
      </c>
      <c r="G349" t="str">
        <f>IFERROR(__xludf.DUMMYFUNCTION("""COMPUTED_VALUE"""),"Matera")</f>
        <v>Matera</v>
      </c>
      <c r="H349" t="str">
        <f>IFERROR(__xludf.DUMMYFUNCTION("""COMPUTED_VALUE"""),"Italy")</f>
        <v>Italy</v>
      </c>
      <c r="I349">
        <f>IFERROR(__xludf.DUMMYFUNCTION("""COMPUTED_VALUE"""),5390.0)</f>
        <v>5390</v>
      </c>
      <c r="J349">
        <f>IFERROR(__xludf.DUMMYFUNCTION("""COMPUTED_VALUE"""),34.0)</f>
        <v>34</v>
      </c>
      <c r="K349">
        <f>IFERROR(__xludf.DUMMYFUNCTION("""COMPUTED_VALUE"""),159.0)</f>
        <v>159</v>
      </c>
      <c r="L349" t="str">
        <f>IFERROR(__xludf.DUMMYFUNCTION("""COMPUTED_VALUE"""),"MLLGPP74R23G786L")</f>
        <v>MLLGPP74R23G786L</v>
      </c>
      <c r="M349">
        <f>IFERROR(__xludf.DUMMYFUNCTION("""COMPUTED_VALUE"""),4.0)</f>
        <v>4</v>
      </c>
      <c r="N349">
        <f>IFERROR(__xludf.DUMMYFUNCTION("""COMPUTED_VALUE"""),42898.0)</f>
        <v>42898</v>
      </c>
      <c r="O349" t="str">
        <f>IFERROR(__xludf.DUMMYFUNCTION("""COMPUTED_VALUE"""),"")</f>
        <v/>
      </c>
    </row>
    <row r="350">
      <c r="A350">
        <f>IFERROR(__xludf.DUMMYFUNCTION("""COMPUTED_VALUE"""),40.6705298)</f>
        <v>40.6705298</v>
      </c>
      <c r="B350">
        <f>IFERROR(__xludf.DUMMYFUNCTION("""COMPUTED_VALUE"""),16.5824141)</f>
        <v>16.5824141</v>
      </c>
      <c r="C350" t="str">
        <f>IFERROR(__xludf.DUMMYFUNCTION("""COMPUTED_VALUE"""),"Casa Vacanza")</f>
        <v>Casa Vacanza</v>
      </c>
      <c r="D350" t="str">
        <f>IFERROR(__xludf.DUMMYFUNCTION("""COMPUTED_VALUE"""),"MATERA E DINTORNI 2019")</f>
        <v>MATERA E DINTORNI 2019</v>
      </c>
      <c r="E350" t="str">
        <f>IFERROR(__xludf.DUMMYFUNCTION("""COMPUTED_VALUE"""),"ANTONIO VITULLI")</f>
        <v>ANTONIO VITULLI</v>
      </c>
      <c r="F350" t="str">
        <f>IFERROR(__xludf.DUMMYFUNCTION("""COMPUTED_VALUE"""),"VIA LA MARTELLA 122")</f>
        <v>VIA LA MARTELLA 122</v>
      </c>
      <c r="G350" t="str">
        <f>IFERROR(__xludf.DUMMYFUNCTION("""COMPUTED_VALUE"""),"Matera")</f>
        <v>Matera</v>
      </c>
      <c r="H350" t="str">
        <f>IFERROR(__xludf.DUMMYFUNCTION("""COMPUTED_VALUE"""),"Italy")</f>
        <v>Italy</v>
      </c>
      <c r="I350">
        <f>IFERROR(__xludf.DUMMYFUNCTION("""COMPUTED_VALUE"""),3737.0)</f>
        <v>3737</v>
      </c>
      <c r="J350">
        <f>IFERROR(__xludf.DUMMYFUNCTION("""COMPUTED_VALUE"""),90.0)</f>
        <v>90</v>
      </c>
      <c r="K350">
        <f>IFERROR(__xludf.DUMMYFUNCTION("""COMPUTED_VALUE"""),67.0)</f>
        <v>67</v>
      </c>
      <c r="L350" t="str">
        <f>IFERROR(__xludf.DUMMYFUNCTION("""COMPUTED_VALUE"""),"VTLNTN67M12C618A")</f>
        <v>VTLNTN67M12C618A</v>
      </c>
      <c r="M350">
        <f>IFERROR(__xludf.DUMMYFUNCTION("""COMPUTED_VALUE"""),4.0)</f>
        <v>4</v>
      </c>
      <c r="N350">
        <f>IFERROR(__xludf.DUMMYFUNCTION("""COMPUTED_VALUE"""),42450.0)</f>
        <v>42450</v>
      </c>
      <c r="O350" t="str">
        <f>IFERROR(__xludf.DUMMYFUNCTION("""COMPUTED_VALUE"""),"")</f>
        <v/>
      </c>
    </row>
    <row r="351">
      <c r="A351">
        <f>IFERROR(__xludf.DUMMYFUNCTION("""COMPUTED_VALUE"""),40.6682781)</f>
        <v>40.6682781</v>
      </c>
      <c r="B351">
        <f>IFERROR(__xludf.DUMMYFUNCTION("""COMPUTED_VALUE"""),16.6067164)</f>
        <v>16.6067164</v>
      </c>
      <c r="C351" t="str">
        <f>IFERROR(__xludf.DUMMYFUNCTION("""COMPUTED_VALUE"""),"Casa Vacanza")</f>
        <v>Casa Vacanza</v>
      </c>
      <c r="D351" t="str">
        <f>IFERROR(__xludf.DUMMYFUNCTION("""COMPUTED_VALUE"""),"MATERA NEL CUORE")</f>
        <v>MATERA NEL CUORE</v>
      </c>
      <c r="E351" t="str">
        <f>IFERROR(__xludf.DUMMYFUNCTION("""COMPUTED_VALUE"""),"PORCARI MARIA")</f>
        <v>PORCARI MARIA</v>
      </c>
      <c r="F351" t="str">
        <f>IFERROR(__xludf.DUMMYFUNCTION("""COMPUTED_VALUE"""),"VICO XX SETTEMBRE 2")</f>
        <v>VICO XX SETTEMBRE 2</v>
      </c>
      <c r="G351" t="str">
        <f>IFERROR(__xludf.DUMMYFUNCTION("""COMPUTED_VALUE"""),"Matera")</f>
        <v>Matera</v>
      </c>
      <c r="H351" t="str">
        <f>IFERROR(__xludf.DUMMYFUNCTION("""COMPUTED_VALUE"""),"Italy")</f>
        <v>Italy</v>
      </c>
      <c r="I351">
        <f>IFERROR(__xludf.DUMMYFUNCTION("""COMPUTED_VALUE"""),2737.0)</f>
        <v>2737</v>
      </c>
      <c r="J351">
        <f>IFERROR(__xludf.DUMMYFUNCTION("""COMPUTED_VALUE"""),73.0)</f>
        <v>73</v>
      </c>
      <c r="K351">
        <f>IFERROR(__xludf.DUMMYFUNCTION("""COMPUTED_VALUE"""),159.0)</f>
        <v>159</v>
      </c>
      <c r="L351" t="str">
        <f>IFERROR(__xludf.DUMMYFUNCTION("""COMPUTED_VALUE"""),"PRCMRA71E43F052V")</f>
        <v>PRCMRA71E43F052V</v>
      </c>
      <c r="M351">
        <f>IFERROR(__xludf.DUMMYFUNCTION("""COMPUTED_VALUE"""),3.0)</f>
        <v>3</v>
      </c>
      <c r="N351">
        <f>IFERROR(__xludf.DUMMYFUNCTION("""COMPUTED_VALUE"""),42348.0)</f>
        <v>42348</v>
      </c>
      <c r="O351" t="str">
        <f>IFERROR(__xludf.DUMMYFUNCTION("""COMPUTED_VALUE"""),"")</f>
        <v/>
      </c>
    </row>
    <row r="352">
      <c r="A352">
        <f>IFERROR(__xludf.DUMMYFUNCTION("""COMPUTED_VALUE"""),40.6703893267648)</f>
        <v>40.67038933</v>
      </c>
      <c r="B352">
        <f>IFERROR(__xludf.DUMMYFUNCTION("""COMPUTED_VALUE"""),16.6072696176198)</f>
        <v>16.60726962</v>
      </c>
      <c r="C352" t="str">
        <f>IFERROR(__xludf.DUMMYFUNCTION("""COMPUTED_VALUE"""),"Casa Vacanza")</f>
        <v>Casa Vacanza</v>
      </c>
      <c r="D352" t="str">
        <f>IFERROR(__xludf.DUMMYFUNCTION("""COMPUTED_VALUE"""),"MATERA SUITE A")</f>
        <v>MATERA SUITE A</v>
      </c>
      <c r="E352" t="str">
        <f>IFERROR(__xludf.DUMMYFUNCTION("""COMPUTED_VALUE"""),"CARMELITA ANNA FLORIO")</f>
        <v>CARMELITA ANNA FLORIO</v>
      </c>
      <c r="F352" t="str">
        <f>IFERROR(__xludf.DUMMYFUNCTION("""COMPUTED_VALUE"""),"VI8A F.P. VOLPE 19")</f>
        <v>VI8A F.P. VOLPE 19</v>
      </c>
      <c r="G352" t="str">
        <f>IFERROR(__xludf.DUMMYFUNCTION("""COMPUTED_VALUE"""),"Matera")</f>
        <v>Matera</v>
      </c>
      <c r="H352" t="str">
        <f>IFERROR(__xludf.DUMMYFUNCTION("""COMPUTED_VALUE"""),"Italy")</f>
        <v>Italy</v>
      </c>
      <c r="I352">
        <f>IFERROR(__xludf.DUMMYFUNCTION("""COMPUTED_VALUE"""),3596.0)</f>
        <v>3596</v>
      </c>
      <c r="J352">
        <f>IFERROR(__xludf.DUMMYFUNCTION("""COMPUTED_VALUE"""),5.0)</f>
        <v>5</v>
      </c>
      <c r="K352">
        <f>IFERROR(__xludf.DUMMYFUNCTION("""COMPUTED_VALUE"""),159.0)</f>
        <v>159</v>
      </c>
      <c r="L352" t="str">
        <f>IFERROR(__xludf.DUMMYFUNCTION("""COMPUTED_VALUE"""),"FLRCML71R71F052I")</f>
        <v>FLRCML71R71F052I</v>
      </c>
      <c r="M352">
        <f>IFERROR(__xludf.DUMMYFUNCTION("""COMPUTED_VALUE"""),2.0)</f>
        <v>2</v>
      </c>
      <c r="N352">
        <f>IFERROR(__xludf.DUMMYFUNCTION("""COMPUTED_VALUE"""),42661.0)</f>
        <v>42661</v>
      </c>
      <c r="O352">
        <f>IFERROR(__xludf.DUMMYFUNCTION("""COMPUTED_VALUE"""),1252.0)</f>
        <v>1252</v>
      </c>
    </row>
    <row r="353">
      <c r="A353">
        <f>IFERROR(__xludf.DUMMYFUNCTION("""COMPUTED_VALUE"""),40.6703893267648)</f>
        <v>40.67038933</v>
      </c>
      <c r="B353">
        <f>IFERROR(__xludf.DUMMYFUNCTION("""COMPUTED_VALUE"""),16.6072696176198)</f>
        <v>16.60726962</v>
      </c>
      <c r="C353" t="str">
        <f>IFERROR(__xludf.DUMMYFUNCTION("""COMPUTED_VALUE"""),"Casa Vacanza")</f>
        <v>Casa Vacanza</v>
      </c>
      <c r="D353" t="str">
        <f>IFERROR(__xludf.DUMMYFUNCTION("""COMPUTED_VALUE"""),"MATERA SUITE B")</f>
        <v>MATERA SUITE B</v>
      </c>
      <c r="E353" t="str">
        <f>IFERROR(__xludf.DUMMYFUNCTION("""COMPUTED_VALUE"""),"CARMELITA ANNA FLORIO")</f>
        <v>CARMELITA ANNA FLORIO</v>
      </c>
      <c r="F353" t="str">
        <f>IFERROR(__xludf.DUMMYFUNCTION("""COMPUTED_VALUE"""),"VIA VOLPE 19 INTERNOB")</f>
        <v>VIA VOLPE 19 INTERNOB</v>
      </c>
      <c r="G353" t="str">
        <f>IFERROR(__xludf.DUMMYFUNCTION("""COMPUTED_VALUE"""),"Matera")</f>
        <v>Matera</v>
      </c>
      <c r="H353" t="str">
        <f>IFERROR(__xludf.DUMMYFUNCTION("""COMPUTED_VALUE"""),"Italy")</f>
        <v>Italy</v>
      </c>
      <c r="I353">
        <f>IFERROR(__xludf.DUMMYFUNCTION("""COMPUTED_VALUE"""),3596.0)</f>
        <v>3596</v>
      </c>
      <c r="J353">
        <f>IFERROR(__xludf.DUMMYFUNCTION("""COMPUTED_VALUE"""),5.0)</f>
        <v>5</v>
      </c>
      <c r="K353">
        <f>IFERROR(__xludf.DUMMYFUNCTION("""COMPUTED_VALUE"""),159.0)</f>
        <v>159</v>
      </c>
      <c r="L353" t="str">
        <f>IFERROR(__xludf.DUMMYFUNCTION("""COMPUTED_VALUE"""),"FLRCML71R71F052I")</f>
        <v>FLRCML71R71F052I</v>
      </c>
      <c r="M353">
        <f>IFERROR(__xludf.DUMMYFUNCTION("""COMPUTED_VALUE"""),2.0)</f>
        <v>2</v>
      </c>
      <c r="N353">
        <f>IFERROR(__xludf.DUMMYFUNCTION("""COMPUTED_VALUE"""),42998.0)</f>
        <v>42998</v>
      </c>
      <c r="O353" t="str">
        <f>IFERROR(__xludf.DUMMYFUNCTION("""COMPUTED_VALUE"""),"")</f>
        <v/>
      </c>
    </row>
    <row r="354">
      <c r="A354">
        <f>IFERROR(__xludf.DUMMYFUNCTION("""COMPUTED_VALUE"""),40.6602836704178)</f>
        <v>40.66028367</v>
      </c>
      <c r="B354">
        <f>IFERROR(__xludf.DUMMYFUNCTION("""COMPUTED_VALUE"""),16.6113771207032)</f>
        <v>16.61137712</v>
      </c>
      <c r="C354" t="str">
        <f>IFERROR(__xludf.DUMMYFUNCTION("""COMPUTED_VALUE"""),"Casa Vacanza")</f>
        <v>Casa Vacanza</v>
      </c>
      <c r="D354" t="str">
        <f>IFERROR(__xludf.DUMMYFUNCTION("""COMPUTED_VALUE"""),"MATHEOLA 19")</f>
        <v>MATHEOLA 19</v>
      </c>
      <c r="E354" t="str">
        <f>IFERROR(__xludf.DUMMYFUNCTION("""COMPUTED_VALUE"""),"LICCESE CARMELA")</f>
        <v>LICCESE CARMELA</v>
      </c>
      <c r="F354" t="str">
        <f>IFERROR(__xludf.DUMMYFUNCTION("""COMPUTED_VALUE"""),"VIA G. FORTUNATO 1")</f>
        <v>VIA G. FORTUNATO 1</v>
      </c>
      <c r="G354" t="str">
        <f>IFERROR(__xludf.DUMMYFUNCTION("""COMPUTED_VALUE"""),"Matera")</f>
        <v>Matera</v>
      </c>
      <c r="H354" t="str">
        <f>IFERROR(__xludf.DUMMYFUNCTION("""COMPUTED_VALUE"""),"Italy")</f>
        <v>Italy</v>
      </c>
      <c r="I354">
        <f>IFERROR(__xludf.DUMMYFUNCTION("""COMPUTED_VALUE"""),221.0)</f>
        <v>221</v>
      </c>
      <c r="J354">
        <f>IFERROR(__xludf.DUMMYFUNCTION("""COMPUTED_VALUE"""),4.0)</f>
        <v>4</v>
      </c>
      <c r="K354">
        <f>IFERROR(__xludf.DUMMYFUNCTION("""COMPUTED_VALUE"""),103.0)</f>
        <v>103</v>
      </c>
      <c r="L354" t="str">
        <f>IFERROR(__xludf.DUMMYFUNCTION("""COMPUTED_VALUE"""),"LCCCML47D58F052B")</f>
        <v>LCCCML47D58F052B</v>
      </c>
      <c r="M354">
        <f>IFERROR(__xludf.DUMMYFUNCTION("""COMPUTED_VALUE"""),3.0)</f>
        <v>3</v>
      </c>
      <c r="N354">
        <f>IFERROR(__xludf.DUMMYFUNCTION("""COMPUTED_VALUE"""),42551.0)</f>
        <v>42551</v>
      </c>
      <c r="O354" t="str">
        <f>IFERROR(__xludf.DUMMYFUNCTION("""COMPUTED_VALUE"""),"")</f>
        <v/>
      </c>
    </row>
    <row r="355">
      <c r="A355">
        <f>IFERROR(__xludf.DUMMYFUNCTION("""COMPUTED_VALUE"""),40.6595392423272)</f>
        <v>40.65953924</v>
      </c>
      <c r="B355">
        <f>IFERROR(__xludf.DUMMYFUNCTION("""COMPUTED_VALUE"""),16.6117605619673)</f>
        <v>16.61176056</v>
      </c>
      <c r="C355" t="str">
        <f>IFERROR(__xludf.DUMMYFUNCTION("""COMPUTED_VALUE"""),"Casa Vacanza")</f>
        <v>Casa Vacanza</v>
      </c>
      <c r="D355" t="str">
        <f>IFERROR(__xludf.DUMMYFUNCTION("""COMPUTED_VALUE"""),"METEORON")</f>
        <v>METEORON</v>
      </c>
      <c r="E355" t="str">
        <f>IFERROR(__xludf.DUMMYFUNCTION("""COMPUTED_VALUE"""),"MARZO LAURA")</f>
        <v>MARZO LAURA</v>
      </c>
      <c r="F355" t="str">
        <f>IFERROR(__xludf.DUMMYFUNCTION("""COMPUTED_VALUE"""),"VIA G. FORTUNATO 47")</f>
        <v>VIA G. FORTUNATO 47</v>
      </c>
      <c r="G355" t="str">
        <f>IFERROR(__xludf.DUMMYFUNCTION("""COMPUTED_VALUE"""),"Matera")</f>
        <v>Matera</v>
      </c>
      <c r="H355" t="str">
        <f>IFERROR(__xludf.DUMMYFUNCTION("""COMPUTED_VALUE"""),"Italy")</f>
        <v>Italy</v>
      </c>
      <c r="I355">
        <f>IFERROR(__xludf.DUMMYFUNCTION("""COMPUTED_VALUE"""),306.0)</f>
        <v>306</v>
      </c>
      <c r="J355">
        <f>IFERROR(__xludf.DUMMYFUNCTION("""COMPUTED_VALUE"""),43497.0)</f>
        <v>43497</v>
      </c>
      <c r="K355">
        <f>IFERROR(__xludf.DUMMYFUNCTION("""COMPUTED_VALUE"""),103.0)</f>
        <v>103</v>
      </c>
      <c r="L355" t="str">
        <f>IFERROR(__xludf.DUMMYFUNCTION("""COMPUTED_VALUE"""),"MRZLCN79R45G786C")</f>
        <v>MRZLCN79R45G786C</v>
      </c>
      <c r="M355">
        <f>IFERROR(__xludf.DUMMYFUNCTION("""COMPUTED_VALUE"""),2.0)</f>
        <v>2</v>
      </c>
      <c r="N355">
        <f>IFERROR(__xludf.DUMMYFUNCTION("""COMPUTED_VALUE"""),43242.0)</f>
        <v>43242</v>
      </c>
      <c r="O355">
        <f>IFERROR(__xludf.DUMMYFUNCTION("""COMPUTED_VALUE"""),1306.0)</f>
        <v>1306</v>
      </c>
    </row>
    <row r="356">
      <c r="A356">
        <f>IFERROR(__xludf.DUMMYFUNCTION("""COMPUTED_VALUE"""),40.6716856)</f>
        <v>40.6716856</v>
      </c>
      <c r="B356">
        <f>IFERROR(__xludf.DUMMYFUNCTION("""COMPUTED_VALUE"""),16.6073451)</f>
        <v>16.6073451</v>
      </c>
      <c r="C356" t="str">
        <f>IFERROR(__xludf.DUMMYFUNCTION("""COMPUTED_VALUE"""),"Casa Vacanza")</f>
        <v>Casa Vacanza</v>
      </c>
      <c r="D356" t="str">
        <f>IFERROR(__xludf.DUMMYFUNCTION("""COMPUTED_VALUE"""),"MONOLOCALE BIAGIO")</f>
        <v>MONOLOCALE BIAGIO</v>
      </c>
      <c r="E356" t="str">
        <f>IFERROR(__xludf.DUMMYFUNCTION("""COMPUTED_VALUE"""),"ANTONUCCI BIAGIO")</f>
        <v>ANTONUCCI BIAGIO</v>
      </c>
      <c r="F356" t="str">
        <f>IFERROR(__xludf.DUMMYFUNCTION("""COMPUTED_VALUE"""),"VIA GATTINI 4")</f>
        <v>VIA GATTINI 4</v>
      </c>
      <c r="G356" t="str">
        <f>IFERROR(__xludf.DUMMYFUNCTION("""COMPUTED_VALUE"""),"Matera")</f>
        <v>Matera</v>
      </c>
      <c r="H356" t="str">
        <f>IFERROR(__xludf.DUMMYFUNCTION("""COMPUTED_VALUE"""),"Italy")</f>
        <v>Italy</v>
      </c>
      <c r="I356">
        <f>IFERROR(__xludf.DUMMYFUNCTION("""COMPUTED_VALUE"""),3691.0)</f>
        <v>3691</v>
      </c>
      <c r="J356">
        <f>IFERROR(__xludf.DUMMYFUNCTION("""COMPUTED_VALUE"""),18.0)</f>
        <v>18</v>
      </c>
      <c r="K356">
        <f>IFERROR(__xludf.DUMMYFUNCTION("""COMPUTED_VALUE"""),71.0)</f>
        <v>71</v>
      </c>
      <c r="L356" t="str">
        <f>IFERROR(__xludf.DUMMYFUNCTION("""COMPUTED_VALUE"""),"NTNBGI47S27F052Q")</f>
        <v>NTNBGI47S27F052Q</v>
      </c>
      <c r="M356">
        <f>IFERROR(__xludf.DUMMYFUNCTION("""COMPUTED_VALUE"""),3.0)</f>
        <v>3</v>
      </c>
      <c r="N356">
        <f>IFERROR(__xludf.DUMMYFUNCTION("""COMPUTED_VALUE"""),42082.0)</f>
        <v>42082</v>
      </c>
      <c r="O356" t="str">
        <f>IFERROR(__xludf.DUMMYFUNCTION("""COMPUTED_VALUE"""),"")</f>
        <v/>
      </c>
    </row>
    <row r="357">
      <c r="A357">
        <f>IFERROR(__xludf.DUMMYFUNCTION("""COMPUTED_VALUE"""),40.6597269176724)</f>
        <v>40.65972692</v>
      </c>
      <c r="B357">
        <f>IFERROR(__xludf.DUMMYFUNCTION("""COMPUTED_VALUE"""),16.6153645573952)</f>
        <v>16.61536456</v>
      </c>
      <c r="C357" t="str">
        <f>IFERROR(__xludf.DUMMYFUNCTION("""COMPUTED_VALUE"""),"Casa Vacanza")</f>
        <v>Casa Vacanza</v>
      </c>
      <c r="D357" t="str">
        <f>IFERROR(__xludf.DUMMYFUNCTION("""COMPUTED_VALUE"""),"MURICE CASA VACANZA")</f>
        <v>MURICE CASA VACANZA</v>
      </c>
      <c r="E357" t="str">
        <f>IFERROR(__xludf.DUMMYFUNCTION("""COMPUTED_VALUE"""),"MURICE SRLS DI BRUNA RUGGIERI")</f>
        <v>MURICE SRLS DI BRUNA RUGGIERI</v>
      </c>
      <c r="F357" t="str">
        <f>IFERROR(__xludf.DUMMYFUNCTION("""COMPUTED_VALUE"""),"VIA CASALNUOVO 215- 217")</f>
        <v>VIA CASALNUOVO 215- 217</v>
      </c>
      <c r="G357" t="str">
        <f>IFERROR(__xludf.DUMMYFUNCTION("""COMPUTED_VALUE"""),"Matera")</f>
        <v>Matera</v>
      </c>
      <c r="H357" t="str">
        <f>IFERROR(__xludf.DUMMYFUNCTION("""COMPUTED_VALUE"""),"Italy")</f>
        <v>Italy</v>
      </c>
      <c r="I357">
        <f>IFERROR(__xludf.DUMMYFUNCTION("""COMPUTED_VALUE"""),2531.0)</f>
        <v>2531</v>
      </c>
      <c r="J357">
        <f>IFERROR(__xludf.DUMMYFUNCTION("""COMPUTED_VALUE"""),6.0)</f>
        <v>6</v>
      </c>
      <c r="K357">
        <f>IFERROR(__xludf.DUMMYFUNCTION("""COMPUTED_VALUE"""),159.0)</f>
        <v>159</v>
      </c>
      <c r="L357">
        <f>IFERROR(__xludf.DUMMYFUNCTION("""COMPUTED_VALUE"""),1.321270777E9)</f>
        <v>1321270777</v>
      </c>
      <c r="M357">
        <f>IFERROR(__xludf.DUMMYFUNCTION("""COMPUTED_VALUE"""),5.0)</f>
        <v>5</v>
      </c>
      <c r="N357">
        <f>IFERROR(__xludf.DUMMYFUNCTION("""COMPUTED_VALUE"""),43292.0)</f>
        <v>43292</v>
      </c>
      <c r="O357" t="str">
        <f>IFERROR(__xludf.DUMMYFUNCTION("""COMPUTED_VALUE"""),"")</f>
        <v/>
      </c>
    </row>
    <row r="358">
      <c r="A358">
        <f>IFERROR(__xludf.DUMMYFUNCTION("""COMPUTED_VALUE"""),40.6684195)</f>
        <v>40.6684195</v>
      </c>
      <c r="B358">
        <f>IFERROR(__xludf.DUMMYFUNCTION("""COMPUTED_VALUE"""),16.6113478)</f>
        <v>16.6113478</v>
      </c>
      <c r="C358" t="str">
        <f>IFERROR(__xludf.DUMMYFUNCTION("""COMPUTED_VALUE"""),"Casa Vacanza")</f>
        <v>Casa Vacanza</v>
      </c>
      <c r="D358" t="str">
        <f>IFERROR(__xludf.DUMMYFUNCTION("""COMPUTED_VALUE"""),"MUSCARI")</f>
        <v>MUSCARI</v>
      </c>
      <c r="E358" t="str">
        <f>IFERROR(__xludf.DUMMYFUNCTION("""COMPUTED_VALUE"""),"RUSSO MASSIMILIANO")</f>
        <v>RUSSO MASSIMILIANO</v>
      </c>
      <c r="F358" t="str">
        <f>IFERROR(__xludf.DUMMYFUNCTION("""COMPUTED_VALUE"""),"VIA MADONNA DELLE VIRTU' 29")</f>
        <v>VIA MADONNA DELLE VIRTU' 29</v>
      </c>
      <c r="G358" t="str">
        <f>IFERROR(__xludf.DUMMYFUNCTION("""COMPUTED_VALUE"""),"Matera")</f>
        <v>Matera</v>
      </c>
      <c r="H358" t="str">
        <f>IFERROR(__xludf.DUMMYFUNCTION("""COMPUTED_VALUE"""),"Italy")</f>
        <v>Italy</v>
      </c>
      <c r="I358">
        <f>IFERROR(__xludf.DUMMYFUNCTION("""COMPUTED_VALUE"""),1055.0)</f>
        <v>1055</v>
      </c>
      <c r="J358">
        <f>IFERROR(__xludf.DUMMYFUNCTION("""COMPUTED_VALUE"""),3.0)</f>
        <v>3</v>
      </c>
      <c r="K358">
        <f>IFERROR(__xludf.DUMMYFUNCTION("""COMPUTED_VALUE"""),159.0)</f>
        <v>159</v>
      </c>
      <c r="L358" t="str">
        <f>IFERROR(__xludf.DUMMYFUNCTION("""COMPUTED_VALUE"""),"RSSMSM73H07L049J")</f>
        <v>RSSMSM73H07L049J</v>
      </c>
      <c r="M358">
        <f>IFERROR(__xludf.DUMMYFUNCTION("""COMPUTED_VALUE"""),2.0)</f>
        <v>2</v>
      </c>
      <c r="N358">
        <f>IFERROR(__xludf.DUMMYFUNCTION("""COMPUTED_VALUE"""),43035.0)</f>
        <v>43035</v>
      </c>
      <c r="O358" t="str">
        <f>IFERROR(__xludf.DUMMYFUNCTION("""COMPUTED_VALUE"""),"")</f>
        <v/>
      </c>
    </row>
    <row r="359">
      <c r="A359">
        <f>IFERROR(__xludf.DUMMYFUNCTION("""COMPUTED_VALUE"""),40.6642086)</f>
        <v>40.6642086</v>
      </c>
      <c r="B359">
        <f>IFERROR(__xludf.DUMMYFUNCTION("""COMPUTED_VALUE"""),16.6111538)</f>
        <v>16.6111538</v>
      </c>
      <c r="C359" t="str">
        <f>IFERROR(__xludf.DUMMYFUNCTION("""COMPUTED_VALUE"""),"Casa Vacanza")</f>
        <v>Casa Vacanza</v>
      </c>
      <c r="D359" t="str">
        <f>IFERROR(__xludf.DUMMYFUNCTION("""COMPUTED_VALUE"""),"NEL  CUORE DEI SASSI")</f>
        <v>NEL  CUORE DEI SASSI</v>
      </c>
      <c r="E359" t="str">
        <f>IFERROR(__xludf.DUMMYFUNCTION("""COMPUTED_VALUE"""),"ROBERTO ANTONIO TOTA")</f>
        <v>ROBERTO ANTONIO TOTA</v>
      </c>
      <c r="F359" t="str">
        <f>IFERROR(__xludf.DUMMYFUNCTION("""COMPUTED_VALUE"""),"VIA SAN PIETRO CAVEOSO 10 14")</f>
        <v>VIA SAN PIETRO CAVEOSO 10 14</v>
      </c>
      <c r="G359" t="str">
        <f>IFERROR(__xludf.DUMMYFUNCTION("""COMPUTED_VALUE"""),"Matera")</f>
        <v>Matera</v>
      </c>
      <c r="H359" t="str">
        <f>IFERROR(__xludf.DUMMYFUNCTION("""COMPUTED_VALUE"""),"Italy")</f>
        <v>Italy</v>
      </c>
      <c r="I359">
        <f>IFERROR(__xludf.DUMMYFUNCTION("""COMPUTED_VALUE"""),1787.0)</f>
        <v>1787</v>
      </c>
      <c r="J359">
        <f>IFERROR(__xludf.DUMMYFUNCTION("""COMPUTED_VALUE"""),2.0)</f>
        <v>2</v>
      </c>
      <c r="K359">
        <f>IFERROR(__xludf.DUMMYFUNCTION("""COMPUTED_VALUE"""),159.0)</f>
        <v>159</v>
      </c>
      <c r="L359" t="str">
        <f>IFERROR(__xludf.DUMMYFUNCTION("""COMPUTED_VALUE"""),"TTORRT62H05F052V")</f>
        <v>TTORRT62H05F052V</v>
      </c>
      <c r="M359">
        <f>IFERROR(__xludf.DUMMYFUNCTION("""COMPUTED_VALUE"""),3.0)</f>
        <v>3</v>
      </c>
      <c r="N359">
        <f>IFERROR(__xludf.DUMMYFUNCTION("""COMPUTED_VALUE"""),42118.0)</f>
        <v>42118</v>
      </c>
      <c r="O359" t="str">
        <f>IFERROR(__xludf.DUMMYFUNCTION("""COMPUTED_VALUE"""),"")</f>
        <v/>
      </c>
    </row>
    <row r="360">
      <c r="A360">
        <f>IFERROR(__xludf.DUMMYFUNCTION("""COMPUTED_VALUE"""),40.6613818090234)</f>
        <v>40.66138181</v>
      </c>
      <c r="B360">
        <f>IFERROR(__xludf.DUMMYFUNCTION("""COMPUTED_VALUE"""),16.6112632318149)</f>
        <v>16.61126323</v>
      </c>
      <c r="C360" t="str">
        <f>IFERROR(__xludf.DUMMYFUNCTION("""COMPUTED_VALUE"""),"Casa Vacanza")</f>
        <v>Casa Vacanza</v>
      </c>
      <c r="D360" t="str">
        <f>IFERROR(__xludf.DUMMYFUNCTION("""COMPUTED_VALUE"""),"NICOLA'S CASA VACANZA")</f>
        <v>NICOLA'S CASA VACANZA</v>
      </c>
      <c r="E360" t="str">
        <f>IFERROR(__xludf.DUMMYFUNCTION("""COMPUTED_VALUE"""),"NICOLA'S 15 S.A.S. MORAMARCO LUIGI")</f>
        <v>NICOLA'S 15 S.A.S. MORAMARCO LUIGI</v>
      </c>
      <c r="F360" t="str">
        <f>IFERROR(__xludf.DUMMYFUNCTION("""COMPUTED_VALUE"""),"VIA LUCANA 205")</f>
        <v>VIA LUCANA 205</v>
      </c>
      <c r="G360" t="str">
        <f>IFERROR(__xludf.DUMMYFUNCTION("""COMPUTED_VALUE"""),"Matera")</f>
        <v>Matera</v>
      </c>
      <c r="H360" t="str">
        <f>IFERROR(__xludf.DUMMYFUNCTION("""COMPUTED_VALUE"""),"Italy")</f>
        <v>Italy</v>
      </c>
      <c r="I360">
        <f>IFERROR(__xludf.DUMMYFUNCTION("""COMPUTED_VALUE"""),5331.0)</f>
        <v>5331</v>
      </c>
      <c r="J360">
        <f>IFERROR(__xludf.DUMMYFUNCTION("""COMPUTED_VALUE"""),83.0)</f>
        <v>83</v>
      </c>
      <c r="K360">
        <f>IFERROR(__xludf.DUMMYFUNCTION("""COMPUTED_VALUE"""),159.0)</f>
        <v>159</v>
      </c>
      <c r="L360">
        <f>IFERROR(__xludf.DUMMYFUNCTION("""COMPUTED_VALUE"""),1.297450775E9)</f>
        <v>1297450775</v>
      </c>
      <c r="M360">
        <f>IFERROR(__xludf.DUMMYFUNCTION("""COMPUTED_VALUE"""),2.0)</f>
        <v>2</v>
      </c>
      <c r="N360">
        <f>IFERROR(__xludf.DUMMYFUNCTION("""COMPUTED_VALUE"""),43350.0)</f>
        <v>43350</v>
      </c>
      <c r="O360" t="str">
        <f>IFERROR(__xludf.DUMMYFUNCTION("""COMPUTED_VALUE"""),"")</f>
        <v/>
      </c>
    </row>
    <row r="361">
      <c r="A361">
        <f>IFERROR(__xludf.DUMMYFUNCTION("""COMPUTED_VALUE"""),40.682876)</f>
        <v>40.682876</v>
      </c>
      <c r="B361">
        <f>IFERROR(__xludf.DUMMYFUNCTION("""COMPUTED_VALUE"""),16.610405)</f>
        <v>16.610405</v>
      </c>
      <c r="C361" t="str">
        <f>IFERROR(__xludf.DUMMYFUNCTION("""COMPUTED_VALUE"""),"Casa Vacanza")</f>
        <v>Casa Vacanza</v>
      </c>
      <c r="D361" t="str">
        <f>IFERROR(__xludf.DUMMYFUNCTION("""COMPUTED_VALUE"""),"NIDO DELLA PALOMBA")</f>
        <v>NIDO DELLA PALOMBA</v>
      </c>
      <c r="E361" t="str">
        <f>IFERROR(__xludf.DUMMYFUNCTION("""COMPUTED_VALUE"""),"ANDRISANI FRANCESCO PAOLO")</f>
        <v>ANDRISANI FRANCESCO PAOLO</v>
      </c>
      <c r="F361" t="str">
        <f>IFERROR(__xludf.DUMMYFUNCTION("""COMPUTED_VALUE"""),"N.D. PEDALE DELLA PALOMBA snc")</f>
        <v>N.D. PEDALE DELLA PALOMBA snc</v>
      </c>
      <c r="G361" t="str">
        <f>IFERROR(__xludf.DUMMYFUNCTION("""COMPUTED_VALUE"""),"Matera")</f>
        <v>Matera</v>
      </c>
      <c r="H361" t="str">
        <f>IFERROR(__xludf.DUMMYFUNCTION("""COMPUTED_VALUE"""),"Italy")</f>
        <v>Italy</v>
      </c>
      <c r="I361">
        <f>IFERROR(__xludf.DUMMYFUNCTION("""COMPUTED_VALUE"""),461.0)</f>
        <v>461</v>
      </c>
      <c r="J361" t="str">
        <f>IFERROR(__xludf.DUMMYFUNCTION("""COMPUTED_VALUE"""),"")</f>
        <v/>
      </c>
      <c r="K361">
        <f>IFERROR(__xludf.DUMMYFUNCTION("""COMPUTED_VALUE"""),53.0)</f>
        <v>53</v>
      </c>
      <c r="L361" t="str">
        <f>IFERROR(__xludf.DUMMYFUNCTION("""COMPUTED_VALUE"""),"NDRFNC58R17F052R")</f>
        <v>NDRFNC58R17F052R</v>
      </c>
      <c r="M361">
        <f>IFERROR(__xludf.DUMMYFUNCTION("""COMPUTED_VALUE"""),2.0)</f>
        <v>2</v>
      </c>
      <c r="N361">
        <f>IFERROR(__xludf.DUMMYFUNCTION("""COMPUTED_VALUE"""),42301.0)</f>
        <v>42301</v>
      </c>
      <c r="O361" t="str">
        <f>IFERROR(__xludf.DUMMYFUNCTION("""COMPUTED_VALUE"""),"")</f>
        <v/>
      </c>
    </row>
    <row r="362">
      <c r="A362">
        <f>IFERROR(__xludf.DUMMYFUNCTION("""COMPUTED_VALUE"""),40.6710931)</f>
        <v>40.6710931</v>
      </c>
      <c r="B362">
        <f>IFERROR(__xludf.DUMMYFUNCTION("""COMPUTED_VALUE"""),16.6086155)</f>
        <v>16.6086155</v>
      </c>
      <c r="C362" t="str">
        <f>IFERROR(__xludf.DUMMYFUNCTION("""COMPUTED_VALUE"""),"Casa Vacanza")</f>
        <v>Casa Vacanza</v>
      </c>
      <c r="D362" t="str">
        <f>IFERROR(__xludf.DUMMYFUNCTION("""COMPUTED_VALUE"""),"NONNA BRUNA")</f>
        <v>NONNA BRUNA</v>
      </c>
      <c r="E362" t="str">
        <f>IFERROR(__xludf.DUMMYFUNCTION("""COMPUTED_VALUE"""),"MICHELE GUIDA")</f>
        <v>MICHELE GUIDA</v>
      </c>
      <c r="F362" t="str">
        <f>IFERROR(__xludf.DUMMYFUNCTION("""COMPUTED_VALUE"""),"VIA SANTO STEFANO 43")</f>
        <v>VIA SANTO STEFANO 43</v>
      </c>
      <c r="G362" t="str">
        <f>IFERROR(__xludf.DUMMYFUNCTION("""COMPUTED_VALUE"""),"Matera")</f>
        <v>Matera</v>
      </c>
      <c r="H362" t="str">
        <f>IFERROR(__xludf.DUMMYFUNCTION("""COMPUTED_VALUE"""),"Italy")</f>
        <v>Italy</v>
      </c>
      <c r="I362">
        <f>IFERROR(__xludf.DUMMYFUNCTION("""COMPUTED_VALUE"""),2894.0)</f>
        <v>2894</v>
      </c>
      <c r="J362">
        <f>IFERROR(__xludf.DUMMYFUNCTION("""COMPUTED_VALUE"""),7.0)</f>
        <v>7</v>
      </c>
      <c r="K362">
        <f>IFERROR(__xludf.DUMMYFUNCTION("""COMPUTED_VALUE"""),159.0)</f>
        <v>159</v>
      </c>
      <c r="L362" t="str">
        <f>IFERROR(__xludf.DUMMYFUNCTION("""COMPUTED_VALUE"""),"GDUMHL66E15F052E")</f>
        <v>GDUMHL66E15F052E</v>
      </c>
      <c r="M362">
        <f>IFERROR(__xludf.DUMMYFUNCTION("""COMPUTED_VALUE"""),2.0)</f>
        <v>2</v>
      </c>
      <c r="N362">
        <f>IFERROR(__xludf.DUMMYFUNCTION("""COMPUTED_VALUE"""),42254.0)</f>
        <v>42254</v>
      </c>
      <c r="O362" t="str">
        <f>IFERROR(__xludf.DUMMYFUNCTION("""COMPUTED_VALUE"""),"")</f>
        <v/>
      </c>
    </row>
    <row r="363">
      <c r="A363">
        <f>IFERROR(__xludf.DUMMYFUNCTION("""COMPUTED_VALUE"""),40.6656789)</f>
        <v>40.6656789</v>
      </c>
      <c r="B363">
        <f>IFERROR(__xludf.DUMMYFUNCTION("""COMPUTED_VALUE"""),16.6126694)</f>
        <v>16.6126694</v>
      </c>
      <c r="C363" t="str">
        <f>IFERROR(__xludf.DUMMYFUNCTION("""COMPUTED_VALUE"""),"Casa Vacanza")</f>
        <v>Casa Vacanza</v>
      </c>
      <c r="D363" t="str">
        <f>IFERROR(__xludf.DUMMYFUNCTION("""COMPUTED_VALUE"""),"NONNA GINA")</f>
        <v>NONNA GINA</v>
      </c>
      <c r="E363" t="str">
        <f>IFERROR(__xludf.DUMMYFUNCTION("""COMPUTED_VALUE"""),"PASQUALE SERGIO LATORRE")</f>
        <v>PASQUALE SERGIO LATORRE</v>
      </c>
      <c r="F363" t="str">
        <f>IFERROR(__xludf.DUMMYFUNCTION("""COMPUTED_VALUE"""),"PIAZZA MICHELE BIABCO 10")</f>
        <v>PIAZZA MICHELE BIABCO 10</v>
      </c>
      <c r="G363" t="str">
        <f>IFERROR(__xludf.DUMMYFUNCTION("""COMPUTED_VALUE"""),"Matera")</f>
        <v>Matera</v>
      </c>
      <c r="H363" t="str">
        <f>IFERROR(__xludf.DUMMYFUNCTION("""COMPUTED_VALUE"""),"Italy")</f>
        <v>Italy</v>
      </c>
      <c r="I363">
        <f>IFERROR(__xludf.DUMMYFUNCTION("""COMPUTED_VALUE"""),1597.0)</f>
        <v>1597</v>
      </c>
      <c r="J363">
        <f>IFERROR(__xludf.DUMMYFUNCTION("""COMPUTED_VALUE"""),121.0)</f>
        <v>121</v>
      </c>
      <c r="K363">
        <f>IFERROR(__xludf.DUMMYFUNCTION("""COMPUTED_VALUE"""),71.0)</f>
        <v>71</v>
      </c>
      <c r="L363" t="str">
        <f>IFERROR(__xludf.DUMMYFUNCTION("""COMPUTED_VALUE"""),"LTRPQL83P14L418I")</f>
        <v>LTRPQL83P14L418I</v>
      </c>
      <c r="M363">
        <f>IFERROR(__xludf.DUMMYFUNCTION("""COMPUTED_VALUE"""),4.0)</f>
        <v>4</v>
      </c>
      <c r="N363">
        <f>IFERROR(__xludf.DUMMYFUNCTION("""COMPUTED_VALUE"""),42865.0)</f>
        <v>42865</v>
      </c>
      <c r="O363">
        <f>IFERROR(__xludf.DUMMYFUNCTION("""COMPUTED_VALUE"""),943.0)</f>
        <v>943</v>
      </c>
    </row>
    <row r="364">
      <c r="A364">
        <f>IFERROR(__xludf.DUMMYFUNCTION("""COMPUTED_VALUE"""),40.6757620611989)</f>
        <v>40.67576206</v>
      </c>
      <c r="B364">
        <f>IFERROR(__xludf.DUMMYFUNCTION("""COMPUTED_VALUE"""),16.5983202292644)</f>
        <v>16.59832023</v>
      </c>
      <c r="C364" t="str">
        <f>IFERROR(__xludf.DUMMYFUNCTION("""COMPUTED_VALUE"""),"Casa Vacanza")</f>
        <v>Casa Vacanza</v>
      </c>
      <c r="D364" t="str">
        <f>IFERROR(__xludf.DUMMYFUNCTION("""COMPUTED_VALUE"""),"NONNA MARIA ANTONIA")</f>
        <v>NONNA MARIA ANTONIA</v>
      </c>
      <c r="E364" t="str">
        <f>IFERROR(__xludf.DUMMYFUNCTION("""COMPUTED_VALUE"""),"ANTONELLA ANTEZZA")</f>
        <v>ANTONELLA ANTEZZA</v>
      </c>
      <c r="F364" t="str">
        <f>IFERROR(__xludf.DUMMYFUNCTION("""COMPUTED_VALUE"""),"VIA SALVO D'ACQUISTO 18")</f>
        <v>VIA SALVO D'ACQUISTO 18</v>
      </c>
      <c r="G364" t="str">
        <f>IFERROR(__xludf.DUMMYFUNCTION("""COMPUTED_VALUE"""),"Matera")</f>
        <v>Matera</v>
      </c>
      <c r="H364" t="str">
        <f>IFERROR(__xludf.DUMMYFUNCTION("""COMPUTED_VALUE"""),"Italy")</f>
        <v>Italy</v>
      </c>
      <c r="I364">
        <f>IFERROR(__xludf.DUMMYFUNCTION("""COMPUTED_VALUE"""),4722.0)</f>
        <v>4722</v>
      </c>
      <c r="J364">
        <f>IFERROR(__xludf.DUMMYFUNCTION("""COMPUTED_VALUE"""),1.0)</f>
        <v>1</v>
      </c>
      <c r="K364">
        <f>IFERROR(__xludf.DUMMYFUNCTION("""COMPUTED_VALUE"""),159.0)</f>
        <v>159</v>
      </c>
      <c r="L364" t="str">
        <f>IFERROR(__xludf.DUMMYFUNCTION("""COMPUTED_VALUE"""),"NTZNNL77L46F052N")</f>
        <v>NTZNNL77L46F052N</v>
      </c>
      <c r="M364">
        <f>IFERROR(__xludf.DUMMYFUNCTION("""COMPUTED_VALUE"""),2.0)</f>
        <v>2</v>
      </c>
      <c r="N364">
        <f>IFERROR(__xludf.DUMMYFUNCTION("""COMPUTED_VALUE"""),42921.0)</f>
        <v>42921</v>
      </c>
      <c r="O364" t="str">
        <f>IFERROR(__xludf.DUMMYFUNCTION("""COMPUTED_VALUE"""),"")</f>
        <v/>
      </c>
    </row>
    <row r="365">
      <c r="A365">
        <f>IFERROR(__xludf.DUMMYFUNCTION("""COMPUTED_VALUE"""),40.669989)</f>
        <v>40.669989</v>
      </c>
      <c r="B365">
        <f>IFERROR(__xludf.DUMMYFUNCTION("""COMPUTED_VALUE"""),16.60884)</f>
        <v>16.60884</v>
      </c>
      <c r="C365" t="str">
        <f>IFERROR(__xludf.DUMMYFUNCTION("""COMPUTED_VALUE"""),"Casa Vacanza")</f>
        <v>Casa Vacanza</v>
      </c>
      <c r="D365" t="str">
        <f>IFERROR(__xludf.DUMMYFUNCTION("""COMPUTED_VALUE"""),"NONNA TITTA")</f>
        <v>NONNA TITTA</v>
      </c>
      <c r="E365" t="str">
        <f>IFERROR(__xludf.DUMMYFUNCTION("""COMPUTED_VALUE"""),"FRANCESCO P. GUARNIERI")</f>
        <v>FRANCESCO P. GUARNIERI</v>
      </c>
      <c r="F365" t="str">
        <f>IFERROR(__xludf.DUMMYFUNCTION("""COMPUTED_VALUE"""),"VIA SANTA CESAREA 59")</f>
        <v>VIA SANTA CESAREA 59</v>
      </c>
      <c r="G365" t="str">
        <f>IFERROR(__xludf.DUMMYFUNCTION("""COMPUTED_VALUE"""),"Matera")</f>
        <v>Matera</v>
      </c>
      <c r="H365" t="str">
        <f>IFERROR(__xludf.DUMMYFUNCTION("""COMPUTED_VALUE"""),"Italy")</f>
        <v>Italy</v>
      </c>
      <c r="I365">
        <f>IFERROR(__xludf.DUMMYFUNCTION("""COMPUTED_VALUE"""),3582.0)</f>
        <v>3582</v>
      </c>
      <c r="J365">
        <f>IFERROR(__xludf.DUMMYFUNCTION("""COMPUTED_VALUE"""),6.0)</f>
        <v>6</v>
      </c>
      <c r="K365">
        <f>IFERROR(__xludf.DUMMYFUNCTION("""COMPUTED_VALUE"""),159.0)</f>
        <v>159</v>
      </c>
      <c r="L365" t="str">
        <f>IFERROR(__xludf.DUMMYFUNCTION("""COMPUTED_VALUE"""),"GRNFNC87T21F052H")</f>
        <v>GRNFNC87T21F052H</v>
      </c>
      <c r="M365">
        <f>IFERROR(__xludf.DUMMYFUNCTION("""COMPUTED_VALUE"""),2.0)</f>
        <v>2</v>
      </c>
      <c r="N365">
        <f>IFERROR(__xludf.DUMMYFUNCTION("""COMPUTED_VALUE"""),42789.0)</f>
        <v>42789</v>
      </c>
      <c r="O365" t="str">
        <f>IFERROR(__xludf.DUMMYFUNCTION("""COMPUTED_VALUE"""),"")</f>
        <v/>
      </c>
    </row>
    <row r="366">
      <c r="A366">
        <f>IFERROR(__xludf.DUMMYFUNCTION("""COMPUTED_VALUE"""),40.6765148237429)</f>
        <v>40.67651482</v>
      </c>
      <c r="B366">
        <f>IFERROR(__xludf.DUMMYFUNCTION("""COMPUTED_VALUE"""),16.5974694566626)</f>
        <v>16.59746946</v>
      </c>
      <c r="C366" t="str">
        <f>IFERROR(__xludf.DUMMYFUNCTION("""COMPUTED_VALUE"""),"Casa Vacanza")</f>
        <v>Casa Vacanza</v>
      </c>
      <c r="D366" t="str">
        <f>IFERROR(__xludf.DUMMYFUNCTION("""COMPUTED_VALUE"""),"NONNO NANNI")</f>
        <v>NONNO NANNI</v>
      </c>
      <c r="E366" t="str">
        <f>IFERROR(__xludf.DUMMYFUNCTION("""COMPUTED_VALUE"""),"LUNALBI EMANUELE")</f>
        <v>LUNALBI EMANUELE</v>
      </c>
      <c r="F366" t="str">
        <f>IFERROR(__xludf.DUMMYFUNCTION("""COMPUTED_VALUE"""),"VIA G. DI VITTORIO 1")</f>
        <v>VIA G. DI VITTORIO 1</v>
      </c>
      <c r="G366" t="str">
        <f>IFERROR(__xludf.DUMMYFUNCTION("""COMPUTED_VALUE"""),"Matera")</f>
        <v>Matera</v>
      </c>
      <c r="H366" t="str">
        <f>IFERROR(__xludf.DUMMYFUNCTION("""COMPUTED_VALUE"""),"Italy")</f>
        <v>Italy</v>
      </c>
      <c r="I366">
        <f>IFERROR(__xludf.DUMMYFUNCTION("""COMPUTED_VALUE"""),4646.0)</f>
        <v>4646</v>
      </c>
      <c r="J366">
        <f>IFERROR(__xludf.DUMMYFUNCTION("""COMPUTED_VALUE"""),7.0)</f>
        <v>7</v>
      </c>
      <c r="K366">
        <f>IFERROR(__xludf.DUMMYFUNCTION("""COMPUTED_VALUE"""),159.0)</f>
        <v>159</v>
      </c>
      <c r="L366" t="str">
        <f>IFERROR(__xludf.DUMMYFUNCTION("""COMPUTED_VALUE"""),"LNLMNL76P14F052M")</f>
        <v>LNLMNL76P14F052M</v>
      </c>
      <c r="M366">
        <f>IFERROR(__xludf.DUMMYFUNCTION("""COMPUTED_VALUE"""),4.0)</f>
        <v>4</v>
      </c>
      <c r="N366">
        <f>IFERROR(__xludf.DUMMYFUNCTION("""COMPUTED_VALUE"""),42534.0)</f>
        <v>42534</v>
      </c>
      <c r="O366" t="str">
        <f>IFERROR(__xludf.DUMMYFUNCTION("""COMPUTED_VALUE"""),"")</f>
        <v/>
      </c>
    </row>
    <row r="367">
      <c r="A367">
        <f>IFERROR(__xludf.DUMMYFUNCTION("""COMPUTED_VALUE"""),40.6642679)</f>
        <v>40.6642679</v>
      </c>
      <c r="B367">
        <f>IFERROR(__xludf.DUMMYFUNCTION("""COMPUTED_VALUE"""),16.6036248)</f>
        <v>16.6036248</v>
      </c>
      <c r="C367" t="str">
        <f>IFERROR(__xludf.DUMMYFUNCTION("""COMPUTED_VALUE"""),"Casa Vacanza")</f>
        <v>Casa Vacanza</v>
      </c>
      <c r="D367" t="str">
        <f>IFERROR(__xludf.DUMMYFUNCTION("""COMPUTED_VALUE"""),"NONNO VITO")</f>
        <v>NONNO VITO</v>
      </c>
      <c r="E367" t="str">
        <f>IFERROR(__xludf.DUMMYFUNCTION("""COMPUTED_VALUE"""),"SCALCIONE MARIA")</f>
        <v>SCALCIONE MARIA</v>
      </c>
      <c r="F367" t="str">
        <f>IFERROR(__xludf.DUMMYFUNCTION("""COMPUTED_VALUE"""),"VIA GRAMSCI 22")</f>
        <v>VIA GRAMSCI 22</v>
      </c>
      <c r="G367" t="str">
        <f>IFERROR(__xludf.DUMMYFUNCTION("""COMPUTED_VALUE"""),"Matera")</f>
        <v>Matera</v>
      </c>
      <c r="H367" t="str">
        <f>IFERROR(__xludf.DUMMYFUNCTION("""COMPUTED_VALUE"""),"Italy")</f>
        <v>Italy</v>
      </c>
      <c r="I367">
        <f>IFERROR(__xludf.DUMMYFUNCTION("""COMPUTED_VALUE"""),302.0)</f>
        <v>302</v>
      </c>
      <c r="J367">
        <f>IFERROR(__xludf.DUMMYFUNCTION("""COMPUTED_VALUE"""),6.0)</f>
        <v>6</v>
      </c>
      <c r="K367">
        <f>IFERROR(__xludf.DUMMYFUNCTION("""COMPUTED_VALUE"""),71.0)</f>
        <v>71</v>
      </c>
      <c r="L367" t="str">
        <f>IFERROR(__xludf.DUMMYFUNCTION("""COMPUTED_VALUE"""),"SCLMBR35P62F201F")</f>
        <v>SCLMBR35P62F201F</v>
      </c>
      <c r="M367">
        <f>IFERROR(__xludf.DUMMYFUNCTION("""COMPUTED_VALUE"""),4.0)</f>
        <v>4</v>
      </c>
      <c r="N367">
        <f>IFERROR(__xludf.DUMMYFUNCTION("""COMPUTED_VALUE"""),42816.0)</f>
        <v>42816</v>
      </c>
      <c r="O367" t="str">
        <f>IFERROR(__xludf.DUMMYFUNCTION("""COMPUTED_VALUE"""),"")</f>
        <v/>
      </c>
    </row>
    <row r="368">
      <c r="A368">
        <f>IFERROR(__xludf.DUMMYFUNCTION("""COMPUTED_VALUE"""),40.645796627825)</f>
        <v>40.64579663</v>
      </c>
      <c r="B368">
        <f>IFERROR(__xludf.DUMMYFUNCTION("""COMPUTED_VALUE"""),16.6171052605169)</f>
        <v>16.61710526</v>
      </c>
      <c r="C368" t="str">
        <f>IFERROR(__xludf.DUMMYFUNCTION("""COMPUTED_VALUE"""),"Casa Vacanza")</f>
        <v>Casa Vacanza</v>
      </c>
      <c r="D368" t="str">
        <f>IFERROR(__xludf.DUMMYFUNCTION("""COMPUTED_VALUE"""),"OASI TURISMO")</f>
        <v>OASI TURISMO</v>
      </c>
      <c r="E368" t="str">
        <f>IFERROR(__xludf.DUMMYFUNCTION("""COMPUTED_VALUE"""),"MARCO DI TRANI")</f>
        <v>MARCO DI TRANI</v>
      </c>
      <c r="F368" t="str">
        <f>IFERROR(__xludf.DUMMYFUNCTION("""COMPUTED_VALUE"""),"VIA TURI 7")</f>
        <v>VIA TURI 7</v>
      </c>
      <c r="G368" t="str">
        <f>IFERROR(__xludf.DUMMYFUNCTION("""COMPUTED_VALUE"""),"Matera")</f>
        <v>Matera</v>
      </c>
      <c r="H368" t="str">
        <f>IFERROR(__xludf.DUMMYFUNCTION("""COMPUTED_VALUE"""),"Italy")</f>
        <v>Italy</v>
      </c>
      <c r="I368">
        <f>IFERROR(__xludf.DUMMYFUNCTION("""COMPUTED_VALUE"""),328.0)</f>
        <v>328</v>
      </c>
      <c r="J368">
        <f>IFERROR(__xludf.DUMMYFUNCTION("""COMPUTED_VALUE"""),40.0)</f>
        <v>40</v>
      </c>
      <c r="K368">
        <f>IFERROR(__xludf.DUMMYFUNCTION("""COMPUTED_VALUE"""),113.0)</f>
        <v>113</v>
      </c>
      <c r="L368" t="str">
        <f>IFERROR(__xludf.DUMMYFUNCTION("""COMPUTED_VALUE"""),"DTRMRC93S07F052V")</f>
        <v>DTRMRC93S07F052V</v>
      </c>
      <c r="M368">
        <f>IFERROR(__xludf.DUMMYFUNCTION("""COMPUTED_VALUE"""),2.0)</f>
        <v>2</v>
      </c>
      <c r="N368">
        <f>IFERROR(__xludf.DUMMYFUNCTION("""COMPUTED_VALUE"""),43220.0)</f>
        <v>43220</v>
      </c>
      <c r="O368" t="str">
        <f>IFERROR(__xludf.DUMMYFUNCTION("""COMPUTED_VALUE"""),"")</f>
        <v/>
      </c>
    </row>
    <row r="369">
      <c r="A369">
        <f>IFERROR(__xludf.DUMMYFUNCTION("""COMPUTED_VALUE"""),40.659476005313)</f>
        <v>40.65947601</v>
      </c>
      <c r="B369">
        <f>IFERROR(__xludf.DUMMYFUNCTION("""COMPUTED_VALUE"""),16.6131552332985)</f>
        <v>16.61315523</v>
      </c>
      <c r="C369" t="str">
        <f>IFERROR(__xludf.DUMMYFUNCTION("""COMPUTED_VALUE"""),"Casa Vacanza")</f>
        <v>Casa Vacanza</v>
      </c>
      <c r="D369" t="str">
        <f>IFERROR(__xludf.DUMMYFUNCTION("""COMPUTED_VALUE"""),"OIKOS")</f>
        <v>OIKOS</v>
      </c>
      <c r="E369" t="str">
        <f>IFERROR(__xludf.DUMMYFUNCTION("""COMPUTED_VALUE"""),"PERRIELLO MARIA GIUSEPPINA")</f>
        <v>PERRIELLO MARIA GIUSEPPINA</v>
      </c>
      <c r="F369" t="str">
        <f>IFERROR(__xludf.DUMMYFUNCTION("""COMPUTED_VALUE"""),"SALITA GUIDO DORSO 15")</f>
        <v>SALITA GUIDO DORSO 15</v>
      </c>
      <c r="G369" t="str">
        <f>IFERROR(__xludf.DUMMYFUNCTION("""COMPUTED_VALUE"""),"Matera")</f>
        <v>Matera</v>
      </c>
      <c r="H369" t="str">
        <f>IFERROR(__xludf.DUMMYFUNCTION("""COMPUTED_VALUE"""),"Italy")</f>
        <v>Italy</v>
      </c>
      <c r="I369">
        <f>IFERROR(__xludf.DUMMYFUNCTION("""COMPUTED_VALUE"""),534.0)</f>
        <v>534</v>
      </c>
      <c r="J369">
        <f>IFERROR(__xludf.DUMMYFUNCTION("""COMPUTED_VALUE"""),11.0)</f>
        <v>11</v>
      </c>
      <c r="K369">
        <f>IFERROR(__xludf.DUMMYFUNCTION("""COMPUTED_VALUE"""),103.0)</f>
        <v>103</v>
      </c>
      <c r="L369" t="str">
        <f>IFERROR(__xludf.DUMMYFUNCTION("""COMPUTED_VALUE"""),"PRRMGS62R55F052C")</f>
        <v>PRRMGS62R55F052C</v>
      </c>
      <c r="M369">
        <f>IFERROR(__xludf.DUMMYFUNCTION("""COMPUTED_VALUE"""),5.0)</f>
        <v>5</v>
      </c>
      <c r="N369">
        <f>IFERROR(__xludf.DUMMYFUNCTION("""COMPUTED_VALUE"""),42839.0)</f>
        <v>42839</v>
      </c>
      <c r="O369">
        <f>IFERROR(__xludf.DUMMYFUNCTION("""COMPUTED_VALUE"""),1055.0)</f>
        <v>1055</v>
      </c>
    </row>
    <row r="370">
      <c r="A370">
        <f>IFERROR(__xludf.DUMMYFUNCTION("""COMPUTED_VALUE"""),40.6711625744576)</f>
        <v>40.67116257</v>
      </c>
      <c r="B370">
        <f>IFERROR(__xludf.DUMMYFUNCTION("""COMPUTED_VALUE"""),16.5887908301104)</f>
        <v>16.58879083</v>
      </c>
      <c r="C370" t="str">
        <f>IFERROR(__xludf.DUMMYFUNCTION("""COMPUTED_VALUE"""),"Casa Vacanza")</f>
        <v>Casa Vacanza</v>
      </c>
      <c r="D370" t="str">
        <f>IFERROR(__xludf.DUMMYFUNCTION("""COMPUTED_VALUE"""),"OLTRE I SASSI")</f>
        <v>OLTRE I SASSI</v>
      </c>
      <c r="E370" t="str">
        <f>IFERROR(__xludf.DUMMYFUNCTION("""COMPUTED_VALUE"""),"MILO RODOLFO LUCIO EMIDIO")</f>
        <v>MILO RODOLFO LUCIO EMIDIO</v>
      </c>
      <c r="F370" t="str">
        <f>IFERROR(__xludf.DUMMYFUNCTION("""COMPUTED_VALUE"""),"VIALE ITALIA 94")</f>
        <v>VIALE ITALIA 94</v>
      </c>
      <c r="G370" t="str">
        <f>IFERROR(__xludf.DUMMYFUNCTION("""COMPUTED_VALUE"""),"Matera")</f>
        <v>Matera</v>
      </c>
      <c r="H370" t="str">
        <f>IFERROR(__xludf.DUMMYFUNCTION("""COMPUTED_VALUE"""),"Italy")</f>
        <v>Italy</v>
      </c>
      <c r="I370">
        <f>IFERROR(__xludf.DUMMYFUNCTION("""COMPUTED_VALUE"""),898.0)</f>
        <v>898</v>
      </c>
      <c r="J370">
        <f>IFERROR(__xludf.DUMMYFUNCTION("""COMPUTED_VALUE"""),13.0)</f>
        <v>13</v>
      </c>
      <c r="K370">
        <f>IFERROR(__xludf.DUMMYFUNCTION("""COMPUTED_VALUE"""),69.0)</f>
        <v>69</v>
      </c>
      <c r="L370" t="str">
        <f>IFERROR(__xludf.DUMMYFUNCTION("""COMPUTED_VALUE"""),"MLIRLF51L05F052R")</f>
        <v>MLIRLF51L05F052R</v>
      </c>
      <c r="M370">
        <f>IFERROR(__xludf.DUMMYFUNCTION("""COMPUTED_VALUE"""),5.0)</f>
        <v>5</v>
      </c>
      <c r="N370">
        <f>IFERROR(__xludf.DUMMYFUNCTION("""COMPUTED_VALUE"""),43321.0)</f>
        <v>43321</v>
      </c>
      <c r="O370" t="str">
        <f>IFERROR(__xludf.DUMMYFUNCTION("""COMPUTED_VALUE"""),"")</f>
        <v/>
      </c>
    </row>
    <row r="371">
      <c r="A371">
        <f>IFERROR(__xludf.DUMMYFUNCTION("""COMPUTED_VALUE"""),40.633015767698)</f>
        <v>40.63301577</v>
      </c>
      <c r="B371">
        <f>IFERROR(__xludf.DUMMYFUNCTION("""COMPUTED_VALUE"""),16.6211823033174)</f>
        <v>16.6211823</v>
      </c>
      <c r="C371" t="str">
        <f>IFERROR(__xludf.DUMMYFUNCTION("""COMPUTED_VALUE"""),"Casa Vacanza")</f>
        <v>Casa Vacanza</v>
      </c>
      <c r="D371" t="str">
        <f>IFERROR(__xludf.DUMMYFUNCTION("""COMPUTED_VALUE"""),"ORO VERDE")</f>
        <v>ORO VERDE</v>
      </c>
      <c r="E371" t="str">
        <f>IFERROR(__xludf.DUMMYFUNCTION("""COMPUTED_VALUE"""),"ANDREA MASSIMILIANO STELLA")</f>
        <v>ANDREA MASSIMILIANO STELLA</v>
      </c>
      <c r="F371" t="str">
        <f>IFERROR(__xludf.DUMMYFUNCTION("""COMPUTED_VALUE"""),"CONTRADA SERRA LOCONTE")</f>
        <v>CONTRADA SERRA LOCONTE</v>
      </c>
      <c r="G371" t="str">
        <f>IFERROR(__xludf.DUMMYFUNCTION("""COMPUTED_VALUE"""),"Matera")</f>
        <v>Matera</v>
      </c>
      <c r="H371" t="str">
        <f>IFERROR(__xludf.DUMMYFUNCTION("""COMPUTED_VALUE"""),"Italy")</f>
        <v>Italy</v>
      </c>
      <c r="I371">
        <f>IFERROR(__xludf.DUMMYFUNCTION("""COMPUTED_VALUE"""),179.0)</f>
        <v>179</v>
      </c>
      <c r="J371">
        <f>IFERROR(__xludf.DUMMYFUNCTION("""COMPUTED_VALUE"""),4.0)</f>
        <v>4</v>
      </c>
      <c r="K371">
        <f>IFERROR(__xludf.DUMMYFUNCTION("""COMPUTED_VALUE"""),134.0)</f>
        <v>134</v>
      </c>
      <c r="L371" t="str">
        <f>IFERROR(__xludf.DUMMYFUNCTION("""COMPUTED_VALUE"""),"STLNRM81P11F052E")</f>
        <v>STLNRM81P11F052E</v>
      </c>
      <c r="M371">
        <f>IFERROR(__xludf.DUMMYFUNCTION("""COMPUTED_VALUE"""),6.0)</f>
        <v>6</v>
      </c>
      <c r="N371">
        <f>IFERROR(__xludf.DUMMYFUNCTION("""COMPUTED_VALUE"""),43419.0)</f>
        <v>43419</v>
      </c>
      <c r="O371">
        <f>IFERROR(__xludf.DUMMYFUNCTION("""COMPUTED_VALUE"""),850.0)</f>
        <v>850</v>
      </c>
    </row>
    <row r="372">
      <c r="A372">
        <f>IFERROR(__xludf.DUMMYFUNCTION("""COMPUTED_VALUE"""),40.6641908230963)</f>
        <v>40.66419082</v>
      </c>
      <c r="B372">
        <f>IFERROR(__xludf.DUMMYFUNCTION("""COMPUTED_VALUE"""),16.6114463327662)</f>
        <v>16.61144633</v>
      </c>
      <c r="C372" t="str">
        <f>IFERROR(__xludf.DUMMYFUNCTION("""COMPUTED_VALUE"""),"Casa Vacanza ")</f>
        <v>Casa Vacanza </v>
      </c>
      <c r="D372" t="str">
        <f>IFERROR(__xludf.DUMMYFUNCTION("""COMPUTED_VALUE"""),"OTIUM")</f>
        <v>OTIUM</v>
      </c>
      <c r="E372" t="str">
        <f>IFERROR(__xludf.DUMMYFUNCTION("""COMPUTED_VALUE"""),"DI PEDE GIUSEPPE")</f>
        <v>DI PEDE GIUSEPPE</v>
      </c>
      <c r="F372" t="str">
        <f>IFERROR(__xludf.DUMMYFUNCTION("""COMPUTED_VALUE"""),"VIA BRUNO BUOZZI 156")</f>
        <v>VIA BRUNO BUOZZI 156</v>
      </c>
      <c r="G372" t="str">
        <f>IFERROR(__xludf.DUMMYFUNCTION("""COMPUTED_VALUE"""),"Matera")</f>
        <v>Matera</v>
      </c>
      <c r="H372" t="str">
        <f>IFERROR(__xludf.DUMMYFUNCTION("""COMPUTED_VALUE"""),"Italy")</f>
        <v>Italy</v>
      </c>
      <c r="I372">
        <f>IFERROR(__xludf.DUMMYFUNCTION("""COMPUTED_VALUE"""),2121.0)</f>
        <v>2121</v>
      </c>
      <c r="J372">
        <f>IFERROR(__xludf.DUMMYFUNCTION("""COMPUTED_VALUE"""),4.0)</f>
        <v>4</v>
      </c>
      <c r="K372">
        <f>IFERROR(__xludf.DUMMYFUNCTION("""COMPUTED_VALUE"""),159.0)</f>
        <v>159</v>
      </c>
      <c r="L372" t="str">
        <f>IFERROR(__xludf.DUMMYFUNCTION("""COMPUTED_VALUE"""),"DPDGPP91T09F052W")</f>
        <v>DPDGPP91T09F052W</v>
      </c>
      <c r="M372">
        <f>IFERROR(__xludf.DUMMYFUNCTION("""COMPUTED_VALUE"""),4.0)</f>
        <v>4</v>
      </c>
      <c r="N372">
        <f>IFERROR(__xludf.DUMMYFUNCTION("""COMPUTED_VALUE"""),43185.0)</f>
        <v>43185</v>
      </c>
      <c r="O372" t="str">
        <f>IFERROR(__xludf.DUMMYFUNCTION("""COMPUTED_VALUE"""),"")</f>
        <v/>
      </c>
    </row>
    <row r="373">
      <c r="A373">
        <f>IFERROR(__xludf.DUMMYFUNCTION("""COMPUTED_VALUE"""),40.665452)</f>
        <v>40.665452</v>
      </c>
      <c r="B373">
        <f>IFERROR(__xludf.DUMMYFUNCTION("""COMPUTED_VALUE"""),16.6101048)</f>
        <v>16.6101048</v>
      </c>
      <c r="C373" t="str">
        <f>IFERROR(__xludf.DUMMYFUNCTION("""COMPUTED_VALUE"""),"Casa Vacanza")</f>
        <v>Casa Vacanza</v>
      </c>
      <c r="D373" t="str">
        <f>IFERROR(__xludf.DUMMYFUNCTION("""COMPUTED_VALUE"""),"PALAZZO SARACENO")</f>
        <v>PALAZZO SARACENO</v>
      </c>
      <c r="E373" t="str">
        <f>IFERROR(__xludf.DUMMYFUNCTION("""COMPUTED_VALUE"""),"MARIA CARMELA PANETTA")</f>
        <v>MARIA CARMELA PANETTA</v>
      </c>
      <c r="F373" t="str">
        <f>IFERROR(__xludf.DUMMYFUNCTION("""COMPUTED_VALUE"""),"VIA ARCO DEL SEDILE 4")</f>
        <v>VIA ARCO DEL SEDILE 4</v>
      </c>
      <c r="G373" t="str">
        <f>IFERROR(__xludf.DUMMYFUNCTION("""COMPUTED_VALUE"""),"Matera")</f>
        <v>Matera</v>
      </c>
      <c r="H373" t="str">
        <f>IFERROR(__xludf.DUMMYFUNCTION("""COMPUTED_VALUE"""),"Italy")</f>
        <v>Italy</v>
      </c>
      <c r="I373">
        <f>IFERROR(__xludf.DUMMYFUNCTION("""COMPUTED_VALUE"""),1498.0)</f>
        <v>1498</v>
      </c>
      <c r="J373">
        <f>IFERROR(__xludf.DUMMYFUNCTION("""COMPUTED_VALUE"""),17.0)</f>
        <v>17</v>
      </c>
      <c r="K373">
        <f>IFERROR(__xludf.DUMMYFUNCTION("""COMPUTED_VALUE"""),159.0)</f>
        <v>159</v>
      </c>
      <c r="L373" t="str">
        <f>IFERROR(__xludf.DUMMYFUNCTION("""COMPUTED_VALUE"""),"PNTMCR61C63F052K")</f>
        <v>PNTMCR61C63F052K</v>
      </c>
      <c r="M373">
        <f>IFERROR(__xludf.DUMMYFUNCTION("""COMPUTED_VALUE"""),8.0)</f>
        <v>8</v>
      </c>
      <c r="N373">
        <f>IFERROR(__xludf.DUMMYFUNCTION("""COMPUTED_VALUE"""),42342.0)</f>
        <v>42342</v>
      </c>
      <c r="O373" t="str">
        <f>IFERROR(__xludf.DUMMYFUNCTION("""COMPUTED_VALUE"""),"")</f>
        <v/>
      </c>
    </row>
    <row r="374">
      <c r="A374">
        <f>IFERROR(__xludf.DUMMYFUNCTION("""COMPUTED_VALUE"""),40.6643247165784)</f>
        <v>40.66432472</v>
      </c>
      <c r="B374">
        <f>IFERROR(__xludf.DUMMYFUNCTION("""COMPUTED_VALUE"""),16.6083658273183)</f>
        <v>16.60836583</v>
      </c>
      <c r="C374" t="str">
        <f>IFERROR(__xludf.DUMMYFUNCTION("""COMPUTED_VALUE"""),"Casa Vacanza")</f>
        <v>Casa Vacanza</v>
      </c>
      <c r="D374" t="str">
        <f>IFERROR(__xludf.DUMMYFUNCTION("""COMPUTED_VALUE"""),"PALAZZOTTO MORELLI")</f>
        <v>PALAZZOTTO MORELLI</v>
      </c>
      <c r="E374" t="str">
        <f>IFERROR(__xludf.DUMMYFUNCTION("""COMPUTED_VALUE"""),"ROBERTO ANTONIO MORELLI")</f>
        <v>ROBERTO ANTONIO MORELLI</v>
      </c>
      <c r="F374" t="str">
        <f>IFERROR(__xludf.DUMMYFUNCTION("""COMPUTED_VALUE"""),"P.ZZA E. BRACCO 11")</f>
        <v>P.ZZA E. BRACCO 11</v>
      </c>
      <c r="G374" t="str">
        <f>IFERROR(__xludf.DUMMYFUNCTION("""COMPUTED_VALUE"""),"Matera")</f>
        <v>Matera</v>
      </c>
      <c r="H374" t="str">
        <f>IFERROR(__xludf.DUMMYFUNCTION("""COMPUTED_VALUE"""),"Italy")</f>
        <v>Italy</v>
      </c>
      <c r="I374">
        <f>IFERROR(__xludf.DUMMYFUNCTION("""COMPUTED_VALUE"""),3991.0)</f>
        <v>3991</v>
      </c>
      <c r="J374">
        <f>IFERROR(__xludf.DUMMYFUNCTION("""COMPUTED_VALUE"""),7.0)</f>
        <v>7</v>
      </c>
      <c r="K374">
        <f>IFERROR(__xludf.DUMMYFUNCTION("""COMPUTED_VALUE"""),159.0)</f>
        <v>159</v>
      </c>
      <c r="L374" t="str">
        <f>IFERROR(__xludf.DUMMYFUNCTION("""COMPUTED_VALUE"""),"MRLRRT68H06F052Y")</f>
        <v>MRLRRT68H06F052Y</v>
      </c>
      <c r="M374">
        <f>IFERROR(__xludf.DUMMYFUNCTION("""COMPUTED_VALUE"""),6.0)</f>
        <v>6</v>
      </c>
      <c r="N374">
        <f>IFERROR(__xludf.DUMMYFUNCTION("""COMPUTED_VALUE"""),42839.0)</f>
        <v>42839</v>
      </c>
      <c r="O374">
        <f>IFERROR(__xludf.DUMMYFUNCTION("""COMPUTED_VALUE"""),1035.0)</f>
        <v>1035</v>
      </c>
    </row>
    <row r="375">
      <c r="A375">
        <f>IFERROR(__xludf.DUMMYFUNCTION("""COMPUTED_VALUE"""),40.6622051362256)</f>
        <v>40.66220514</v>
      </c>
      <c r="B375">
        <f>IFERROR(__xludf.DUMMYFUNCTION("""COMPUTED_VALUE"""),16.6077282832729)</f>
        <v>16.60772828</v>
      </c>
      <c r="C375" t="str">
        <f>IFERROR(__xludf.DUMMYFUNCTION("""COMPUTED_VALUE"""),"Casa Vacanza")</f>
        <v>Casa Vacanza</v>
      </c>
      <c r="D375" t="str">
        <f>IFERROR(__xludf.DUMMYFUNCTION("""COMPUTED_VALUE"""),"PANEAMORE")</f>
        <v>PANEAMORE</v>
      </c>
      <c r="E375" t="str">
        <f>IFERROR(__xludf.DUMMYFUNCTION("""COMPUTED_VALUE"""),"ZACCARO NICOLA")</f>
        <v>ZACCARO NICOLA</v>
      </c>
      <c r="F375" t="str">
        <f>IFERROR(__xludf.DUMMYFUNCTION("""COMPUTED_VALUE"""),"VIA P.VENA 3")</f>
        <v>VIA P.VENA 3</v>
      </c>
      <c r="G375" t="str">
        <f>IFERROR(__xludf.DUMMYFUNCTION("""COMPUTED_VALUE"""),"Matera")</f>
        <v>Matera</v>
      </c>
      <c r="H375" t="str">
        <f>IFERROR(__xludf.DUMMYFUNCTION("""COMPUTED_VALUE"""),"Italy")</f>
        <v>Italy</v>
      </c>
      <c r="I375">
        <f>IFERROR(__xludf.DUMMYFUNCTION("""COMPUTED_VALUE"""),204.0)</f>
        <v>204</v>
      </c>
      <c r="J375">
        <f>IFERROR(__xludf.DUMMYFUNCTION("""COMPUTED_VALUE"""),9.0)</f>
        <v>9</v>
      </c>
      <c r="K375">
        <f>IFERROR(__xludf.DUMMYFUNCTION("""COMPUTED_VALUE"""),103.0)</f>
        <v>103</v>
      </c>
      <c r="L375" t="str">
        <f>IFERROR(__xludf.DUMMYFUNCTION("""COMPUTED_VALUE"""),"ZCCNCL93E28F052Z")</f>
        <v>ZCCNCL93E28F052Z</v>
      </c>
      <c r="M375">
        <f>IFERROR(__xludf.DUMMYFUNCTION("""COMPUTED_VALUE"""),4.0)</f>
        <v>4</v>
      </c>
      <c r="N375">
        <f>IFERROR(__xludf.DUMMYFUNCTION("""COMPUTED_VALUE"""),42514.0)</f>
        <v>42514</v>
      </c>
      <c r="O375" t="str">
        <f>IFERROR(__xludf.DUMMYFUNCTION("""COMPUTED_VALUE"""),"")</f>
        <v/>
      </c>
    </row>
    <row r="376">
      <c r="A376">
        <f>IFERROR(__xludf.DUMMYFUNCTION("""COMPUTED_VALUE"""),40.6665009)</f>
        <v>40.6665009</v>
      </c>
      <c r="B376">
        <f>IFERROR(__xludf.DUMMYFUNCTION("""COMPUTED_VALUE"""),16.607929)</f>
        <v>16.607929</v>
      </c>
      <c r="C376" t="str">
        <f>IFERROR(__xludf.DUMMYFUNCTION("""COMPUTED_VALUE"""),"Casa Vacanza")</f>
        <v>Casa Vacanza</v>
      </c>
      <c r="D376" t="str">
        <f>IFERROR(__xludf.DUMMYFUNCTION("""COMPUTED_VALUE"""),"PER LE VIE DEL MAGICO MOSTO")</f>
        <v>PER LE VIE DEL MAGICO MOSTO</v>
      </c>
      <c r="E376" t="str">
        <f>IFERROR(__xludf.DUMMYFUNCTION("""COMPUTED_VALUE"""),"ALI srl")</f>
        <v>ALI srl</v>
      </c>
      <c r="F376" t="str">
        <f>IFERROR(__xludf.DUMMYFUNCTION("""COMPUTED_VALUE"""),"VIA LOMBARDI 11 12 13 14 15 16")</f>
        <v>VIA LOMBARDI 11 12 13 14 15 16</v>
      </c>
      <c r="G376" t="str">
        <f>IFERROR(__xludf.DUMMYFUNCTION("""COMPUTED_VALUE"""),"Matera")</f>
        <v>Matera</v>
      </c>
      <c r="H376" t="str">
        <f>IFERROR(__xludf.DUMMYFUNCTION("""COMPUTED_VALUE"""),"Italy")</f>
        <v>Italy</v>
      </c>
      <c r="I376">
        <f>IFERROR(__xludf.DUMMYFUNCTION("""COMPUTED_VALUE"""),663.0)</f>
        <v>663</v>
      </c>
      <c r="J376">
        <f>IFERROR(__xludf.DUMMYFUNCTION("""COMPUTED_VALUE"""),18.0)</f>
        <v>18</v>
      </c>
      <c r="K376">
        <f>IFERROR(__xludf.DUMMYFUNCTION("""COMPUTED_VALUE"""),159.0)</f>
        <v>159</v>
      </c>
      <c r="L376">
        <f>IFERROR(__xludf.DUMMYFUNCTION("""COMPUTED_VALUE"""),1.323960771E9)</f>
        <v>1323960771</v>
      </c>
      <c r="M376" t="str">
        <f>IFERROR(__xludf.DUMMYFUNCTION("""COMPUTED_VALUE"""),"")</f>
        <v/>
      </c>
      <c r="N376">
        <f>IFERROR(__xludf.DUMMYFUNCTION("""COMPUTED_VALUE"""),43118.0)</f>
        <v>43118</v>
      </c>
      <c r="O376" t="str">
        <f>IFERROR(__xludf.DUMMYFUNCTION("""COMPUTED_VALUE"""),"")</f>
        <v/>
      </c>
    </row>
    <row r="377">
      <c r="A377">
        <f>IFERROR(__xludf.DUMMYFUNCTION("""COMPUTED_VALUE"""),40.6670941)</f>
        <v>40.6670941</v>
      </c>
      <c r="B377">
        <f>IFERROR(__xludf.DUMMYFUNCTION("""COMPUTED_VALUE"""),16.6070503)</f>
        <v>16.6070503</v>
      </c>
      <c r="C377" t="str">
        <f>IFERROR(__xludf.DUMMYFUNCTION("""COMPUTED_VALUE"""),"Casa Vacanza")</f>
        <v>Casa Vacanza</v>
      </c>
      <c r="D377" t="str">
        <f>IFERROR(__xludf.DUMMYFUNCTION("""COMPUTED_VALUE"""),"PORTA DEI SASSI")</f>
        <v>PORTA DEI SASSI</v>
      </c>
      <c r="E377" t="str">
        <f>IFERROR(__xludf.DUMMYFUNCTION("""COMPUTED_VALUE"""),"CARDINALE GIOVANNI")</f>
        <v>CARDINALE GIOVANNI</v>
      </c>
      <c r="F377" t="str">
        <f>IFERROR(__xludf.DUMMYFUNCTION("""COMPUTED_VALUE"""),"REC. SAN BIAGIO  7")</f>
        <v>REC. SAN BIAGIO  7</v>
      </c>
      <c r="G377" t="str">
        <f>IFERROR(__xludf.DUMMYFUNCTION("""COMPUTED_VALUE"""),"Matera")</f>
        <v>Matera</v>
      </c>
      <c r="H377" t="str">
        <f>IFERROR(__xludf.DUMMYFUNCTION("""COMPUTED_VALUE"""),"Italy")</f>
        <v>Italy</v>
      </c>
      <c r="I377">
        <f>IFERROR(__xludf.DUMMYFUNCTION("""COMPUTED_VALUE"""),2749.0)</f>
        <v>2749</v>
      </c>
      <c r="J377">
        <f>IFERROR(__xludf.DUMMYFUNCTION("""COMPUTED_VALUE"""),6.0)</f>
        <v>6</v>
      </c>
      <c r="K377">
        <f>IFERROR(__xludf.DUMMYFUNCTION("""COMPUTED_VALUE"""),159.0)</f>
        <v>159</v>
      </c>
      <c r="L377" t="str">
        <f>IFERROR(__xludf.DUMMYFUNCTION("""COMPUTED_VALUE"""),"CRDGNN49H23F052Y")</f>
        <v>CRDGNN49H23F052Y</v>
      </c>
      <c r="M377">
        <f>IFERROR(__xludf.DUMMYFUNCTION("""COMPUTED_VALUE"""),5.0)</f>
        <v>5</v>
      </c>
      <c r="N377">
        <f>IFERROR(__xludf.DUMMYFUNCTION("""COMPUTED_VALUE"""),43054.0)</f>
        <v>43054</v>
      </c>
      <c r="O377" t="str">
        <f>IFERROR(__xludf.DUMMYFUNCTION("""COMPUTED_VALUE"""),"")</f>
        <v/>
      </c>
    </row>
    <row r="378">
      <c r="A378">
        <f>IFERROR(__xludf.DUMMYFUNCTION("""COMPUTED_VALUE"""),40.660796)</f>
        <v>40.660796</v>
      </c>
      <c r="B378">
        <f>IFERROR(__xludf.DUMMYFUNCTION("""COMPUTED_VALUE"""),16.61314)</f>
        <v>16.61314</v>
      </c>
      <c r="C378" t="str">
        <f>IFERROR(__xludf.DUMMYFUNCTION("""COMPUTED_VALUE"""),"Casa Vacanza")</f>
        <v>Casa Vacanza</v>
      </c>
      <c r="D378" t="str">
        <f>IFERROR(__xludf.DUMMYFUNCTION("""COMPUTED_VALUE"""),"PRIMAVERA NEI SASSI")</f>
        <v>PRIMAVERA NEI SASSI</v>
      </c>
      <c r="E378" t="str">
        <f>IFERROR(__xludf.DUMMYFUNCTION("""COMPUTED_VALUE"""),"FESTA GIOVANNI")</f>
        <v>FESTA GIOVANNI</v>
      </c>
      <c r="F378" t="str">
        <f>IFERROR(__xludf.DUMMYFUNCTION("""COMPUTED_VALUE"""),"VIA CASALNUOVO 167")</f>
        <v>VIA CASALNUOVO 167</v>
      </c>
      <c r="G378" t="str">
        <f>IFERROR(__xludf.DUMMYFUNCTION("""COMPUTED_VALUE"""),"Matera")</f>
        <v>Matera</v>
      </c>
      <c r="H378" t="str">
        <f>IFERROR(__xludf.DUMMYFUNCTION("""COMPUTED_VALUE"""),"Italy")</f>
        <v>Italy</v>
      </c>
      <c r="I378">
        <f>IFERROR(__xludf.DUMMYFUNCTION("""COMPUTED_VALUE"""),2493.0)</f>
        <v>2493</v>
      </c>
      <c r="J378">
        <f>IFERROR(__xludf.DUMMYFUNCTION("""COMPUTED_VALUE"""),2.0)</f>
        <v>2</v>
      </c>
      <c r="K378">
        <f>IFERROR(__xludf.DUMMYFUNCTION("""COMPUTED_VALUE"""),159.0)</f>
        <v>159</v>
      </c>
      <c r="L378">
        <f>IFERROR(__xludf.DUMMYFUNCTION("""COMPUTED_VALUE"""),1.184710778E9)</f>
        <v>1184710778</v>
      </c>
      <c r="M378">
        <f>IFERROR(__xludf.DUMMYFUNCTION("""COMPUTED_VALUE"""),3.0)</f>
        <v>3</v>
      </c>
      <c r="N378">
        <f>IFERROR(__xludf.DUMMYFUNCTION("""COMPUTED_VALUE"""),42992.0)</f>
        <v>42992</v>
      </c>
      <c r="O378" t="str">
        <f>IFERROR(__xludf.DUMMYFUNCTION("""COMPUTED_VALUE"""),"")</f>
        <v/>
      </c>
    </row>
    <row r="379">
      <c r="A379">
        <f>IFERROR(__xludf.DUMMYFUNCTION("""COMPUTED_VALUE"""),40.6699464)</f>
        <v>40.6699464</v>
      </c>
      <c r="B379">
        <f>IFERROR(__xludf.DUMMYFUNCTION("""COMPUTED_VALUE"""),16.6067275)</f>
        <v>16.6067275</v>
      </c>
      <c r="C379" t="str">
        <f>IFERROR(__xludf.DUMMYFUNCTION("""COMPUTED_VALUE"""),"Casa Vacanza")</f>
        <v>Casa Vacanza</v>
      </c>
      <c r="D379" t="str">
        <f>IFERROR(__xludf.DUMMYFUNCTION("""COMPUTED_VALUE"""),"QUATTRO PASSI")</f>
        <v>QUATTRO PASSI</v>
      </c>
      <c r="E379" t="str">
        <f>IFERROR(__xludf.DUMMYFUNCTION("""COMPUTED_VALUE"""),"GIULIA TORTORA")</f>
        <v>GIULIA TORTORA</v>
      </c>
      <c r="F379" t="str">
        <f>IFERROR(__xludf.DUMMYFUNCTION("""COMPUTED_VALUE"""),"VIA TOMMASO STIGLIANI 72")</f>
        <v>VIA TOMMASO STIGLIANI 72</v>
      </c>
      <c r="G379" t="str">
        <f>IFERROR(__xludf.DUMMYFUNCTION("""COMPUTED_VALUE"""),"Matera")</f>
        <v>Matera</v>
      </c>
      <c r="H379" t="str">
        <f>IFERROR(__xludf.DUMMYFUNCTION("""COMPUTED_VALUE"""),"Italy")</f>
        <v>Italy</v>
      </c>
      <c r="I379">
        <f>IFERROR(__xludf.DUMMYFUNCTION("""COMPUTED_VALUE"""),3465.0)</f>
        <v>3465</v>
      </c>
      <c r="J379">
        <f>IFERROR(__xludf.DUMMYFUNCTION("""COMPUTED_VALUE"""),12.0)</f>
        <v>12</v>
      </c>
      <c r="K379">
        <f>IFERROR(__xludf.DUMMYFUNCTION("""COMPUTED_VALUE"""),159.0)</f>
        <v>159</v>
      </c>
      <c r="L379" t="str">
        <f>IFERROR(__xludf.DUMMYFUNCTION("""COMPUTED_VALUE"""),"TRTGLI74E41D643W")</f>
        <v>TRTGLI74E41D643W</v>
      </c>
      <c r="M379">
        <f>IFERROR(__xludf.DUMMYFUNCTION("""COMPUTED_VALUE"""),2.0)</f>
        <v>2</v>
      </c>
      <c r="N379">
        <f>IFERROR(__xludf.DUMMYFUNCTION("""COMPUTED_VALUE"""),42846.0)</f>
        <v>42846</v>
      </c>
      <c r="O379">
        <f>IFERROR(__xludf.DUMMYFUNCTION("""COMPUTED_VALUE"""),952.0)</f>
        <v>952</v>
      </c>
    </row>
    <row r="380">
      <c r="A380">
        <f>IFERROR(__xludf.DUMMYFUNCTION("""COMPUTED_VALUE"""),40.6605463)</f>
        <v>40.6605463</v>
      </c>
      <c r="B380">
        <f>IFERROR(__xludf.DUMMYFUNCTION("""COMPUTED_VALUE"""),16.6133354)</f>
        <v>16.6133354</v>
      </c>
      <c r="C380" t="str">
        <f>IFERROR(__xludf.DUMMYFUNCTION("""COMPUTED_VALUE"""),"Casa Vacanza")</f>
        <v>Casa Vacanza</v>
      </c>
      <c r="D380" t="str">
        <f>IFERROR(__xludf.DUMMYFUNCTION("""COMPUTED_VALUE"""),"RAGGIO DI LUCE")</f>
        <v>RAGGIO DI LUCE</v>
      </c>
      <c r="E380" t="str">
        <f>IFERROR(__xludf.DUMMYFUNCTION("""COMPUTED_VALUE"""),"MERCADANTE SALVATORE")</f>
        <v>MERCADANTE SALVATORE</v>
      </c>
      <c r="F380" t="str">
        <f>IFERROR(__xludf.DUMMYFUNCTION("""COMPUTED_VALUE"""),"VIA CASALNUOVO 243")</f>
        <v>VIA CASALNUOVO 243</v>
      </c>
      <c r="G380" t="str">
        <f>IFERROR(__xludf.DUMMYFUNCTION("""COMPUTED_VALUE"""),"Matera")</f>
        <v>Matera</v>
      </c>
      <c r="H380" t="str">
        <f>IFERROR(__xludf.DUMMYFUNCTION("""COMPUTED_VALUE"""),"Italy")</f>
        <v>Italy</v>
      </c>
      <c r="I380">
        <f>IFERROR(__xludf.DUMMYFUNCTION("""COMPUTED_VALUE"""),2595.0)</f>
        <v>2595</v>
      </c>
      <c r="J380">
        <f>IFERROR(__xludf.DUMMYFUNCTION("""COMPUTED_VALUE"""),5.0)</f>
        <v>5</v>
      </c>
      <c r="K380">
        <f>IFERROR(__xludf.DUMMYFUNCTION("""COMPUTED_VALUE"""),159.0)</f>
        <v>159</v>
      </c>
      <c r="L380" t="str">
        <f>IFERROR(__xludf.DUMMYFUNCTION("""COMPUTED_VALUE"""),"MRCSVT72PO8F0520")</f>
        <v>MRCSVT72PO8F0520</v>
      </c>
      <c r="M380">
        <f>IFERROR(__xludf.DUMMYFUNCTION("""COMPUTED_VALUE"""),2.0)</f>
        <v>2</v>
      </c>
      <c r="N380">
        <f>IFERROR(__xludf.DUMMYFUNCTION("""COMPUTED_VALUE"""),42542.0)</f>
        <v>42542</v>
      </c>
      <c r="O380">
        <f>IFERROR(__xludf.DUMMYFUNCTION("""COMPUTED_VALUE"""),1838.0)</f>
        <v>1838</v>
      </c>
    </row>
    <row r="381">
      <c r="A381">
        <f>IFERROR(__xludf.DUMMYFUNCTION("""COMPUTED_VALUE"""),40.6748653064377)</f>
        <v>40.67486531</v>
      </c>
      <c r="B381">
        <f>IFERROR(__xludf.DUMMYFUNCTION("""COMPUTED_VALUE"""),16.5932064790634)</f>
        <v>16.59320648</v>
      </c>
      <c r="C381" t="str">
        <f>IFERROR(__xludf.DUMMYFUNCTION("""COMPUTED_VALUE"""),"Casa Vacanza")</f>
        <v>Casa Vacanza</v>
      </c>
      <c r="D381" t="str">
        <f>IFERROR(__xludf.DUMMYFUNCTION("""COMPUTED_VALUE"""),"RAGGIO DI SOLE")</f>
        <v>RAGGIO DI SOLE</v>
      </c>
      <c r="E381" t="str">
        <f>IFERROR(__xludf.DUMMYFUNCTION("""COMPUTED_VALUE"""),"RITA NICOLETTI")</f>
        <v>RITA NICOLETTI</v>
      </c>
      <c r="F381" t="str">
        <f>IFERROR(__xludf.DUMMYFUNCTION("""COMPUTED_VALUE"""),"CONTRADA SERRA PADUCCI")</f>
        <v>CONTRADA SERRA PADUCCI</v>
      </c>
      <c r="G381" t="str">
        <f>IFERROR(__xludf.DUMMYFUNCTION("""COMPUTED_VALUE"""),"Matera")</f>
        <v>Matera</v>
      </c>
      <c r="H381" t="str">
        <f>IFERROR(__xludf.DUMMYFUNCTION("""COMPUTED_VALUE"""),"Italy")</f>
        <v>Italy</v>
      </c>
      <c r="I381">
        <f>IFERROR(__xludf.DUMMYFUNCTION("""COMPUTED_VALUE"""),480.0)</f>
        <v>480</v>
      </c>
      <c r="J381">
        <f>IFERROR(__xludf.DUMMYFUNCTION("""COMPUTED_VALUE"""),18.0)</f>
        <v>18</v>
      </c>
      <c r="K381">
        <f>IFERROR(__xludf.DUMMYFUNCTION("""COMPUTED_VALUE"""),69.0)</f>
        <v>69</v>
      </c>
      <c r="L381" t="str">
        <f>IFERROR(__xludf.DUMMYFUNCTION("""COMPUTED_VALUE"""),"NCLRTI71D41F052G")</f>
        <v>NCLRTI71D41F052G</v>
      </c>
      <c r="M381">
        <f>IFERROR(__xludf.DUMMYFUNCTION("""COMPUTED_VALUE"""),2.0)</f>
        <v>2</v>
      </c>
      <c r="N381">
        <f>IFERROR(__xludf.DUMMYFUNCTION("""COMPUTED_VALUE"""),42173.0)</f>
        <v>42173</v>
      </c>
      <c r="O381">
        <f>IFERROR(__xludf.DUMMYFUNCTION("""COMPUTED_VALUE"""),1243.0)</f>
        <v>1243</v>
      </c>
    </row>
    <row r="382">
      <c r="A382">
        <f>IFERROR(__xludf.DUMMYFUNCTION("""COMPUTED_VALUE"""),40.6652764751615)</f>
        <v>40.66527648</v>
      </c>
      <c r="B382">
        <f>IFERROR(__xludf.DUMMYFUNCTION("""COMPUTED_VALUE"""),16.6037846028724)</f>
        <v>16.6037846</v>
      </c>
      <c r="C382" t="str">
        <f>IFERROR(__xludf.DUMMYFUNCTION("""COMPUTED_VALUE"""),"Casa Vacanza")</f>
        <v>Casa Vacanza</v>
      </c>
      <c r="D382" t="str">
        <f>IFERROR(__xludf.DUMMYFUNCTION("""COMPUTED_VALUE"""),"RE SOLE")</f>
        <v>RE SOLE</v>
      </c>
      <c r="E382" t="str">
        <f>IFERROR(__xludf.DUMMYFUNCTION("""COMPUTED_VALUE"""),"MICHELE LORETO")</f>
        <v>MICHELE LORETO</v>
      </c>
      <c r="F382" t="str">
        <f>IFERROR(__xludf.DUMMYFUNCTION("""COMPUTED_VALUE"""),"VIA PASSARELLI 30")</f>
        <v>VIA PASSARELLI 30</v>
      </c>
      <c r="G382" t="str">
        <f>IFERROR(__xludf.DUMMYFUNCTION("""COMPUTED_VALUE"""),"Matera")</f>
        <v>Matera</v>
      </c>
      <c r="H382" t="str">
        <f>IFERROR(__xludf.DUMMYFUNCTION("""COMPUTED_VALUE"""),"Italy")</f>
        <v>Italy</v>
      </c>
      <c r="I382">
        <f>IFERROR(__xludf.DUMMYFUNCTION("""COMPUTED_VALUE"""),464.0)</f>
        <v>464</v>
      </c>
      <c r="J382">
        <f>IFERROR(__xludf.DUMMYFUNCTION("""COMPUTED_VALUE"""),13.0)</f>
        <v>13</v>
      </c>
      <c r="K382">
        <f>IFERROR(__xludf.DUMMYFUNCTION("""COMPUTED_VALUE"""),71.0)</f>
        <v>71</v>
      </c>
      <c r="L382" t="str">
        <f>IFERROR(__xludf.DUMMYFUNCTION("""COMPUTED_VALUE"""),"LRTMHL63M18L049M")</f>
        <v>LRTMHL63M18L049M</v>
      </c>
      <c r="M382">
        <f>IFERROR(__xludf.DUMMYFUNCTION("""COMPUTED_VALUE"""),8.0)</f>
        <v>8</v>
      </c>
      <c r="N382">
        <f>IFERROR(__xludf.DUMMYFUNCTION("""COMPUTED_VALUE"""),42531.0)</f>
        <v>42531</v>
      </c>
      <c r="O382" t="str">
        <f>IFERROR(__xludf.DUMMYFUNCTION("""COMPUTED_VALUE"""),"")</f>
        <v/>
      </c>
    </row>
    <row r="383">
      <c r="A383">
        <f>IFERROR(__xludf.DUMMYFUNCTION("""COMPUTED_VALUE"""),40.6637629127255)</f>
        <v>40.66376291</v>
      </c>
      <c r="B383">
        <f>IFERROR(__xludf.DUMMYFUNCTION("""COMPUTED_VALUE"""),16.5974137311493)</f>
        <v>16.59741373</v>
      </c>
      <c r="C383" t="str">
        <f>IFERROR(__xludf.DUMMYFUNCTION("""COMPUTED_VALUE"""),"Casa Vacanzw")</f>
        <v>Casa Vacanzw</v>
      </c>
      <c r="D383" t="str">
        <f>IFERROR(__xludf.DUMMYFUNCTION("""COMPUTED_VALUE"""),"RESIDENCE AL PINO")</f>
        <v>RESIDENCE AL PINO</v>
      </c>
      <c r="E383" t="str">
        <f>IFERROR(__xludf.DUMMYFUNCTION("""COMPUTED_VALUE"""),"VIVIANA BRAIA")</f>
        <v>VIVIANA BRAIA</v>
      </c>
      <c r="F383" t="str">
        <f>IFERROR(__xludf.DUMMYFUNCTION("""COMPUTED_VALUE"""),"VIA TIMMARI 33")</f>
        <v>VIA TIMMARI 33</v>
      </c>
      <c r="G383" t="str">
        <f>IFERROR(__xludf.DUMMYFUNCTION("""COMPUTED_VALUE"""),"Matera")</f>
        <v>Matera</v>
      </c>
      <c r="H383" t="str">
        <f>IFERROR(__xludf.DUMMYFUNCTION("""COMPUTED_VALUE"""),"Italy")</f>
        <v>Italy</v>
      </c>
      <c r="I383">
        <f>IFERROR(__xludf.DUMMYFUNCTION("""COMPUTED_VALUE"""),1804.0)</f>
        <v>1804</v>
      </c>
      <c r="J383">
        <f>IFERROR(__xludf.DUMMYFUNCTION("""COMPUTED_VALUE"""),36.0)</f>
        <v>36</v>
      </c>
      <c r="K383">
        <f>IFERROR(__xludf.DUMMYFUNCTION("""COMPUTED_VALUE"""),71.0)</f>
        <v>71</v>
      </c>
      <c r="L383" t="str">
        <f>IFERROR(__xludf.DUMMYFUNCTION("""COMPUTED_VALUE"""),"BRAVVN95S62F052X")</f>
        <v>BRAVVN95S62F052X</v>
      </c>
      <c r="M383">
        <f>IFERROR(__xludf.DUMMYFUNCTION("""COMPUTED_VALUE"""),7.0)</f>
        <v>7</v>
      </c>
      <c r="N383">
        <f>IFERROR(__xludf.DUMMYFUNCTION("""COMPUTED_VALUE"""),43175.0)</f>
        <v>43175</v>
      </c>
      <c r="O383" t="str">
        <f>IFERROR(__xludf.DUMMYFUNCTION("""COMPUTED_VALUE"""),"")</f>
        <v/>
      </c>
    </row>
    <row r="384">
      <c r="A384">
        <f>IFERROR(__xludf.DUMMYFUNCTION("""COMPUTED_VALUE"""),40.6605463)</f>
        <v>40.6605463</v>
      </c>
      <c r="B384">
        <f>IFERROR(__xludf.DUMMYFUNCTION("""COMPUTED_VALUE"""),16.6133354)</f>
        <v>16.6133354</v>
      </c>
      <c r="C384" t="str">
        <f>IFERROR(__xludf.DUMMYFUNCTION("""COMPUTED_VALUE"""),"Casa Vacanza")</f>
        <v>Casa Vacanza</v>
      </c>
      <c r="D384" t="str">
        <f>IFERROR(__xludf.DUMMYFUNCTION("""COMPUTED_VALUE"""),"RESIDENCE DEL CASALNUOVO")</f>
        <v>RESIDENCE DEL CASALNUOVO</v>
      </c>
      <c r="E384" t="str">
        <f>IFERROR(__xludf.DUMMYFUNCTION("""COMPUTED_VALUE"""),"TRENDUP DI V. NICOLETTI &amp; C.")</f>
        <v>TRENDUP DI V. NICOLETTI &amp; C.</v>
      </c>
      <c r="F384" t="str">
        <f>IFERROR(__xludf.DUMMYFUNCTION("""COMPUTED_VALUE"""),"VIA CASALNUOVO  116/118")</f>
        <v>VIA CASALNUOVO  116/118</v>
      </c>
      <c r="G384" t="str">
        <f>IFERROR(__xludf.DUMMYFUNCTION("""COMPUTED_VALUE"""),"Matera")</f>
        <v>Matera</v>
      </c>
      <c r="H384" t="str">
        <f>IFERROR(__xludf.DUMMYFUNCTION("""COMPUTED_VALUE"""),"Italy")</f>
        <v>Italy</v>
      </c>
      <c r="I384">
        <f>IFERROR(__xludf.DUMMYFUNCTION("""COMPUTED_VALUE"""),3488.0)</f>
        <v>3488</v>
      </c>
      <c r="J384">
        <f>IFERROR(__xludf.DUMMYFUNCTION("""COMPUTED_VALUE"""),12.0)</f>
        <v>12</v>
      </c>
      <c r="K384">
        <f>IFERROR(__xludf.DUMMYFUNCTION("""COMPUTED_VALUE"""),159.0)</f>
        <v>159</v>
      </c>
      <c r="L384">
        <f>IFERROR(__xludf.DUMMYFUNCTION("""COMPUTED_VALUE"""),1.295120776E9)</f>
        <v>1295120776</v>
      </c>
      <c r="M384">
        <f>IFERROR(__xludf.DUMMYFUNCTION("""COMPUTED_VALUE"""),21.0)</f>
        <v>21</v>
      </c>
      <c r="N384">
        <f>IFERROR(__xludf.DUMMYFUNCTION("""COMPUTED_VALUE"""),42339.0)</f>
        <v>42339</v>
      </c>
      <c r="O384" t="str">
        <f>IFERROR(__xludf.DUMMYFUNCTION("""COMPUTED_VALUE"""),"")</f>
        <v/>
      </c>
    </row>
    <row r="385">
      <c r="A385">
        <f>IFERROR(__xludf.DUMMYFUNCTION("""COMPUTED_VALUE"""),40.6667908)</f>
        <v>40.6667908</v>
      </c>
      <c r="B385">
        <f>IFERROR(__xludf.DUMMYFUNCTION("""COMPUTED_VALUE"""),16.6101923)</f>
        <v>16.6101923</v>
      </c>
      <c r="C385" t="str">
        <f>IFERROR(__xludf.DUMMYFUNCTION("""COMPUTED_VALUE"""),"Casa Vacanza")</f>
        <v>Casa Vacanza</v>
      </c>
      <c r="D385" t="str">
        <f>IFERROR(__xludf.DUMMYFUNCTION("""COMPUTED_VALUE"""),"RESIDENCE SAN GENNARO")</f>
        <v>RESIDENCE SAN GENNARO</v>
      </c>
      <c r="E385" t="str">
        <f>IFERROR(__xludf.DUMMYFUNCTION("""COMPUTED_VALUE"""),"ALI srl")</f>
        <v>ALI srl</v>
      </c>
      <c r="F385" t="str">
        <f>IFERROR(__xludf.DUMMYFUNCTION("""COMPUTED_VALUE"""),"VIA SAN GENNARO 24")</f>
        <v>VIA SAN GENNARO 24</v>
      </c>
      <c r="G385" t="str">
        <f>IFERROR(__xludf.DUMMYFUNCTION("""COMPUTED_VALUE"""),"Matera")</f>
        <v>Matera</v>
      </c>
      <c r="H385" t="str">
        <f>IFERROR(__xludf.DUMMYFUNCTION("""COMPUTED_VALUE"""),"Italy")</f>
        <v>Italy</v>
      </c>
      <c r="I385" t="str">
        <f>IFERROR(__xludf.DUMMYFUNCTION("""COMPUTED_VALUE"""),"")</f>
        <v/>
      </c>
      <c r="J385" t="str">
        <f>IFERROR(__xludf.DUMMYFUNCTION("""COMPUTED_VALUE"""),"")</f>
        <v/>
      </c>
      <c r="K385" t="str">
        <f>IFERROR(__xludf.DUMMYFUNCTION("""COMPUTED_VALUE"""),"")</f>
        <v/>
      </c>
      <c r="L385">
        <f>IFERROR(__xludf.DUMMYFUNCTION("""COMPUTED_VALUE"""),1.323960771E9)</f>
        <v>1323960771</v>
      </c>
      <c r="M385">
        <f>IFERROR(__xludf.DUMMYFUNCTION("""COMPUTED_VALUE"""),29.0)</f>
        <v>29</v>
      </c>
      <c r="N385">
        <f>IFERROR(__xludf.DUMMYFUNCTION("""COMPUTED_VALUE"""),42871.0)</f>
        <v>42871</v>
      </c>
      <c r="O385" t="str">
        <f>IFERROR(__xludf.DUMMYFUNCTION("""COMPUTED_VALUE"""),"")</f>
        <v/>
      </c>
    </row>
    <row r="386">
      <c r="A386">
        <f>IFERROR(__xludf.DUMMYFUNCTION("""COMPUTED_VALUE"""),40.6632903734617)</f>
        <v>40.66329037</v>
      </c>
      <c r="B386">
        <f>IFERROR(__xludf.DUMMYFUNCTION("""COMPUTED_VALUE"""),16.6075958634733)</f>
        <v>16.60759586</v>
      </c>
      <c r="C386" t="str">
        <f>IFERROR(__xludf.DUMMYFUNCTION("""COMPUTED_VALUE"""),"Casa Vacanza")</f>
        <v>Casa Vacanza</v>
      </c>
      <c r="D386" t="str">
        <f>IFERROR(__xludf.DUMMYFUNCTION("""COMPUTED_VALUE"""),"RESIDENZA IL CASTELLO")</f>
        <v>RESIDENZA IL CASTELLO</v>
      </c>
      <c r="E386" t="str">
        <f>IFERROR(__xludf.DUMMYFUNCTION("""COMPUTED_VALUE"""),"SPORT VILLAGE SRL")</f>
        <v>SPORT VILLAGE SRL</v>
      </c>
      <c r="F386" t="str">
        <f>IFERROR(__xludf.DUMMYFUNCTION("""COMPUTED_VALUE"""),"VIA LANERA snc")</f>
        <v>VIA LANERA snc</v>
      </c>
      <c r="G386" t="str">
        <f>IFERROR(__xludf.DUMMYFUNCTION("""COMPUTED_VALUE"""),"Matera")</f>
        <v>Matera</v>
      </c>
      <c r="H386" t="str">
        <f>IFERROR(__xludf.DUMMYFUNCTION("""COMPUTED_VALUE"""),"Italy")</f>
        <v>Italy</v>
      </c>
      <c r="I386">
        <f>IFERROR(__xludf.DUMMYFUNCTION("""COMPUTED_VALUE"""),1101.0)</f>
        <v>1101</v>
      </c>
      <c r="J386">
        <f>IFERROR(__xludf.DUMMYFUNCTION("""COMPUTED_VALUE"""),99.0)</f>
        <v>99</v>
      </c>
      <c r="K386">
        <f>IFERROR(__xludf.DUMMYFUNCTION("""COMPUTED_VALUE"""),103.0)</f>
        <v>103</v>
      </c>
      <c r="L386">
        <f>IFERROR(__xludf.DUMMYFUNCTION("""COMPUTED_VALUE"""),7.967100723E9)</f>
        <v>7967100723</v>
      </c>
      <c r="M386">
        <f>IFERROR(__xludf.DUMMYFUNCTION("""COMPUTED_VALUE"""),5.0)</f>
        <v>5</v>
      </c>
      <c r="N386">
        <f>IFERROR(__xludf.DUMMYFUNCTION("""COMPUTED_VALUE"""),42752.0)</f>
        <v>42752</v>
      </c>
      <c r="O386" t="str">
        <f>IFERROR(__xludf.DUMMYFUNCTION("""COMPUTED_VALUE"""),"")</f>
        <v/>
      </c>
    </row>
    <row r="387">
      <c r="A387">
        <f>IFERROR(__xludf.DUMMYFUNCTION("""COMPUTED_VALUE"""),40.670566)</f>
        <v>40.670566</v>
      </c>
      <c r="B387">
        <f>IFERROR(__xludf.DUMMYFUNCTION("""COMPUTED_VALUE"""),16.609707)</f>
        <v>16.609707</v>
      </c>
      <c r="C387" t="str">
        <f>IFERROR(__xludf.DUMMYFUNCTION("""COMPUTED_VALUE"""),"Casa Vacanza")</f>
        <v>Casa Vacanza</v>
      </c>
      <c r="D387" t="str">
        <f>IFERROR(__xludf.DUMMYFUNCTION("""COMPUTED_VALUE"""),"RESIDENZA S.AGOSTINO-ASTRAPIOMBO SULLA MURGIA")</f>
        <v>RESIDENZA S.AGOSTINO-ASTRAPIOMBO SULLA MURGIA</v>
      </c>
      <c r="E387" t="str">
        <f>IFERROR(__xludf.DUMMYFUNCTION("""COMPUTED_VALUE"""),"LOFORESE ANTONIO GIULIO")</f>
        <v>LOFORESE ANTONIO GIULIO</v>
      </c>
      <c r="F387" t="str">
        <f>IFERROR(__xludf.DUMMYFUNCTION("""COMPUTED_VALUE"""),"RECINTO D'ADDOZIO 13")</f>
        <v>RECINTO D'ADDOZIO 13</v>
      </c>
      <c r="G387" t="str">
        <f>IFERROR(__xludf.DUMMYFUNCTION("""COMPUTED_VALUE"""),"Matera")</f>
        <v>Matera</v>
      </c>
      <c r="H387" t="str">
        <f>IFERROR(__xludf.DUMMYFUNCTION("""COMPUTED_VALUE"""),"Italy")</f>
        <v>Italy</v>
      </c>
      <c r="I387">
        <f>IFERROR(__xludf.DUMMYFUNCTION("""COMPUTED_VALUE"""),3834.0)</f>
        <v>3834</v>
      </c>
      <c r="J387">
        <f>IFERROR(__xludf.DUMMYFUNCTION("""COMPUTED_VALUE"""),6.0)</f>
        <v>6</v>
      </c>
      <c r="K387">
        <f>IFERROR(__xludf.DUMMYFUNCTION("""COMPUTED_VALUE"""),159.0)</f>
        <v>159</v>
      </c>
      <c r="L387" t="str">
        <f>IFERROR(__xludf.DUMMYFUNCTION("""COMPUTED_VALUE"""),"LFRNNG89PI6L109F")</f>
        <v>LFRNNG89PI6L109F</v>
      </c>
      <c r="M387">
        <f>IFERROR(__xludf.DUMMYFUNCTION("""COMPUTED_VALUE"""),5.0)</f>
        <v>5</v>
      </c>
      <c r="N387">
        <f>IFERROR(__xludf.DUMMYFUNCTION("""COMPUTED_VALUE"""),42626.0)</f>
        <v>42626</v>
      </c>
      <c r="O387" t="str">
        <f>IFERROR(__xludf.DUMMYFUNCTION("""COMPUTED_VALUE"""),"")</f>
        <v/>
      </c>
    </row>
    <row r="388">
      <c r="A388">
        <f>IFERROR(__xludf.DUMMYFUNCTION("""COMPUTED_VALUE"""),40.6681793)</f>
        <v>40.6681793</v>
      </c>
      <c r="B388">
        <f>IFERROR(__xludf.DUMMYFUNCTION("""COMPUTED_VALUE"""),16.6060041)</f>
        <v>16.6060041</v>
      </c>
      <c r="C388" t="str">
        <f>IFERROR(__xludf.DUMMYFUNCTION("""COMPUTED_VALUE"""),"Casa Vacanza")</f>
        <v>Casa Vacanza</v>
      </c>
      <c r="D388" t="str">
        <f>IFERROR(__xludf.DUMMYFUNCTION("""COMPUTED_VALUE"""),"RESIDENZA SANT'EUSTACHIOBUONO MARIA ROSARIA")</f>
        <v>RESIDENZA SANT'EUSTACHIOBUONO MARIA ROSARIA</v>
      </c>
      <c r="E388" t="str">
        <f>IFERROR(__xludf.DUMMYFUNCTION("""COMPUTED_VALUE"""),"")</f>
        <v/>
      </c>
      <c r="F388" t="str">
        <f>IFERROR(__xludf.DUMMYFUNCTION("""COMPUTED_VALUE"""),"VIA XX SETTEMBRE 27")</f>
        <v>VIA XX SETTEMBRE 27</v>
      </c>
      <c r="G388" t="str">
        <f>IFERROR(__xludf.DUMMYFUNCTION("""COMPUTED_VALUE"""),"Matera")</f>
        <v>Matera</v>
      </c>
      <c r="H388" t="str">
        <f>IFERROR(__xludf.DUMMYFUNCTION("""COMPUTED_VALUE"""),"Italy")</f>
        <v>Italy</v>
      </c>
      <c r="I388">
        <f>IFERROR(__xludf.DUMMYFUNCTION("""COMPUTED_VALUE"""),3549.0)</f>
        <v>3549</v>
      </c>
      <c r="J388">
        <f>IFERROR(__xludf.DUMMYFUNCTION("""COMPUTED_VALUE"""),3.0)</f>
        <v>3</v>
      </c>
      <c r="K388">
        <f>IFERROR(__xludf.DUMMYFUNCTION("""COMPUTED_VALUE"""),159.0)</f>
        <v>159</v>
      </c>
      <c r="L388" t="str">
        <f>IFERROR(__xludf.DUMMYFUNCTION("""COMPUTED_VALUE"""),"BNUMRS71R48F052C")</f>
        <v>BNUMRS71R48F052C</v>
      </c>
      <c r="M388">
        <f>IFERROR(__xludf.DUMMYFUNCTION("""COMPUTED_VALUE"""),4.0)</f>
        <v>4</v>
      </c>
      <c r="N388">
        <f>IFERROR(__xludf.DUMMYFUNCTION("""COMPUTED_VALUE"""),42380.0)</f>
        <v>42380</v>
      </c>
      <c r="O388" t="str">
        <f>IFERROR(__xludf.DUMMYFUNCTION("""COMPUTED_VALUE"""),"")</f>
        <v/>
      </c>
    </row>
    <row r="389">
      <c r="A389">
        <f>IFERROR(__xludf.DUMMYFUNCTION("""COMPUTED_VALUE"""),40.6641306951051)</f>
        <v>40.6641307</v>
      </c>
      <c r="B389">
        <f>IFERROR(__xludf.DUMMYFUNCTION("""COMPUTED_VALUE"""),16.6086240643828)</f>
        <v>16.60862406</v>
      </c>
      <c r="C389" t="str">
        <f>IFERROR(__xludf.DUMMYFUNCTION("""COMPUTED_VALUE"""),"Casa Vacanza")</f>
        <v>Casa Vacanza</v>
      </c>
      <c r="D389" t="str">
        <f>IFERROR(__xludf.DUMMYFUNCTION("""COMPUTED_VALUE"""),"RIVA DEI SASSI")</f>
        <v>RIVA DEI SASSI</v>
      </c>
      <c r="E389" t="str">
        <f>IFERROR(__xludf.DUMMYFUNCTION("""COMPUTED_VALUE"""),"ANTONIO MARIA AMODIO")</f>
        <v>ANTONIO MARIA AMODIO</v>
      </c>
      <c r="F389" t="str">
        <f>IFERROR(__xludf.DUMMYFUNCTION("""COMPUTED_VALUE"""),"P.ZZA E. BRACCO 14")</f>
        <v>P.ZZA E. BRACCO 14</v>
      </c>
      <c r="G389" t="str">
        <f>IFERROR(__xludf.DUMMYFUNCTION("""COMPUTED_VALUE"""),"Matera")</f>
        <v>Matera</v>
      </c>
      <c r="H389" t="str">
        <f>IFERROR(__xludf.DUMMYFUNCTION("""COMPUTED_VALUE"""),"Italy")</f>
        <v>Italy</v>
      </c>
      <c r="I389">
        <f>IFERROR(__xludf.DUMMYFUNCTION("""COMPUTED_VALUE"""),4600.0)</f>
        <v>4600</v>
      </c>
      <c r="J389">
        <f>IFERROR(__xludf.DUMMYFUNCTION("""COMPUTED_VALUE"""),14.0)</f>
        <v>14</v>
      </c>
      <c r="K389">
        <f>IFERROR(__xludf.DUMMYFUNCTION("""COMPUTED_VALUE"""),159.0)</f>
        <v>159</v>
      </c>
      <c r="L389" t="str">
        <f>IFERROR(__xludf.DUMMYFUNCTION("""COMPUTED_VALUE"""),"MDANNM55M15F052D")</f>
        <v>MDANNM55M15F052D</v>
      </c>
      <c r="M389">
        <f>IFERROR(__xludf.DUMMYFUNCTION("""COMPUTED_VALUE"""),4.0)</f>
        <v>4</v>
      </c>
      <c r="N389">
        <f>IFERROR(__xludf.DUMMYFUNCTION("""COMPUTED_VALUE"""),42262.0)</f>
        <v>42262</v>
      </c>
      <c r="O389">
        <f>IFERROR(__xludf.DUMMYFUNCTION("""COMPUTED_VALUE"""),1212.0)</f>
        <v>1212</v>
      </c>
    </row>
    <row r="390">
      <c r="A390">
        <f>IFERROR(__xludf.DUMMYFUNCTION("""COMPUTED_VALUE"""),40.6616398581041)</f>
        <v>40.66163986</v>
      </c>
      <c r="B390">
        <f>IFERROR(__xludf.DUMMYFUNCTION("""COMPUTED_VALUE"""),16.6118582032951)</f>
        <v>16.6118582</v>
      </c>
      <c r="C390" t="str">
        <f>IFERROR(__xludf.DUMMYFUNCTION("""COMPUTED_VALUE"""),"Casa Vacanza")</f>
        <v>Casa Vacanza</v>
      </c>
      <c r="D390" t="str">
        <f>IFERROR(__xludf.DUMMYFUNCTION("""COMPUTED_VALUE"""),"ROSE APARTMENT")</f>
        <v>ROSE APARTMENT</v>
      </c>
      <c r="E390" t="str">
        <f>IFERROR(__xludf.DUMMYFUNCTION("""COMPUTED_VALUE"""),"NUNZIA FIORE")</f>
        <v>NUNZIA FIORE</v>
      </c>
      <c r="F390" t="str">
        <f>IFERROR(__xludf.DUMMYFUNCTION("""COMPUTED_VALUE"""),"VICO 1° CASALNUOVO  55")</f>
        <v>VICO 1° CASALNUOVO  55</v>
      </c>
      <c r="G390" t="str">
        <f>IFERROR(__xludf.DUMMYFUNCTION("""COMPUTED_VALUE"""),"Matera")</f>
        <v>Matera</v>
      </c>
      <c r="H390" t="str">
        <f>IFERROR(__xludf.DUMMYFUNCTION("""COMPUTED_VALUE"""),"Italy")</f>
        <v>Italy</v>
      </c>
      <c r="I390">
        <f>IFERROR(__xludf.DUMMYFUNCTION("""COMPUTED_VALUE"""),2457.0)</f>
        <v>2457</v>
      </c>
      <c r="J390">
        <f>IFERROR(__xludf.DUMMYFUNCTION("""COMPUTED_VALUE"""),2.0)</f>
        <v>2</v>
      </c>
      <c r="K390">
        <f>IFERROR(__xludf.DUMMYFUNCTION("""COMPUTED_VALUE"""),159.0)</f>
        <v>159</v>
      </c>
      <c r="L390" t="str">
        <f>IFERROR(__xludf.DUMMYFUNCTION("""COMPUTED_VALUE"""),"FRINNZ71L61F052V")</f>
        <v>FRINNZ71L61F052V</v>
      </c>
      <c r="M390">
        <f>IFERROR(__xludf.DUMMYFUNCTION("""COMPUTED_VALUE"""),2.0)</f>
        <v>2</v>
      </c>
      <c r="N390">
        <f>IFERROR(__xludf.DUMMYFUNCTION("""COMPUTED_VALUE"""),42462.0)</f>
        <v>42462</v>
      </c>
      <c r="O390" t="str">
        <f>IFERROR(__xludf.DUMMYFUNCTION("""COMPUTED_VALUE"""),"")</f>
        <v/>
      </c>
    </row>
    <row r="391">
      <c r="A391">
        <f>IFERROR(__xludf.DUMMYFUNCTION("""COMPUTED_VALUE"""),40.6664975236001)</f>
        <v>40.66649752</v>
      </c>
      <c r="B391">
        <f>IFERROR(__xludf.DUMMYFUNCTION("""COMPUTED_VALUE"""),16.6125315557341)</f>
        <v>16.61253156</v>
      </c>
      <c r="C391" t="str">
        <f>IFERROR(__xludf.DUMMYFUNCTION("""COMPUTED_VALUE"""),"Casa Vacanza")</f>
        <v>Casa Vacanza</v>
      </c>
      <c r="D391" t="str">
        <f>IFERROR(__xludf.DUMMYFUNCTION("""COMPUTED_VALUE"""),"S'8")</f>
        <v>S'8</v>
      </c>
      <c r="E391" t="str">
        <f>IFERROR(__xludf.DUMMYFUNCTION("""COMPUTED_VALUE"""),"PASCARELLI STEFANIA")</f>
        <v>PASCARELLI STEFANIA</v>
      </c>
      <c r="F391" t="str">
        <f>IFERROR(__xludf.DUMMYFUNCTION("""COMPUTED_VALUE"""),"REC.SAN GIACOMO 8")</f>
        <v>REC.SAN GIACOMO 8</v>
      </c>
      <c r="G391" t="str">
        <f>IFERROR(__xludf.DUMMYFUNCTION("""COMPUTED_VALUE"""),"Matera")</f>
        <v>Matera</v>
      </c>
      <c r="H391" t="str">
        <f>IFERROR(__xludf.DUMMYFUNCTION("""COMPUTED_VALUE"""),"Italy")</f>
        <v>Italy</v>
      </c>
      <c r="I391">
        <f>IFERROR(__xludf.DUMMYFUNCTION("""COMPUTED_VALUE"""),1410.0)</f>
        <v>1410</v>
      </c>
      <c r="J391">
        <f>IFERROR(__xludf.DUMMYFUNCTION("""COMPUTED_VALUE"""),2.0)</f>
        <v>2</v>
      </c>
      <c r="K391">
        <f>IFERROR(__xludf.DUMMYFUNCTION("""COMPUTED_VALUE"""),159.0)</f>
        <v>159</v>
      </c>
      <c r="L391" t="str">
        <f>IFERROR(__xludf.DUMMYFUNCTION("""COMPUTED_VALUE"""),"PSCSFN70H62E704P")</f>
        <v>PSCSFN70H62E704P</v>
      </c>
      <c r="M391">
        <f>IFERROR(__xludf.DUMMYFUNCTION("""COMPUTED_VALUE"""),5.0)</f>
        <v>5</v>
      </c>
      <c r="N391">
        <f>IFERROR(__xludf.DUMMYFUNCTION("""COMPUTED_VALUE"""),42206.0)</f>
        <v>42206</v>
      </c>
      <c r="O391" t="str">
        <f>IFERROR(__xludf.DUMMYFUNCTION("""COMPUTED_VALUE"""),"")</f>
        <v/>
      </c>
    </row>
    <row r="392">
      <c r="A392">
        <f>IFERROR(__xludf.DUMMYFUNCTION("""COMPUTED_VALUE"""),40.6632427)</f>
        <v>40.6632427</v>
      </c>
      <c r="B392">
        <f>IFERROR(__xludf.DUMMYFUNCTION("""COMPUTED_VALUE"""),16.6123433)</f>
        <v>16.6123433</v>
      </c>
      <c r="C392" t="str">
        <f>IFERROR(__xludf.DUMMYFUNCTION("""COMPUTED_VALUE"""),"Casa Vacanza")</f>
        <v>Casa Vacanza</v>
      </c>
      <c r="D392" t="str">
        <f>IFERROR(__xludf.DUMMYFUNCTION("""COMPUTED_VALUE"""),"S@SSO MATTO")</f>
        <v>S@SSO MATTO</v>
      </c>
      <c r="E392" t="str">
        <f>IFERROR(__xludf.DUMMYFUNCTION("""COMPUTED_VALUE"""),"STEFANO FRACCALVIERI")</f>
        <v>STEFANO FRACCALVIERI</v>
      </c>
      <c r="F392" t="str">
        <f>IFERROR(__xludf.DUMMYFUNCTION("""COMPUTED_VALUE"""),"VIA B.BUOZZI 86-88")</f>
        <v>VIA B.BUOZZI 86-88</v>
      </c>
      <c r="G392" t="str">
        <f>IFERROR(__xludf.DUMMYFUNCTION("""COMPUTED_VALUE"""),"Matera")</f>
        <v>Matera</v>
      </c>
      <c r="H392" t="str">
        <f>IFERROR(__xludf.DUMMYFUNCTION("""COMPUTED_VALUE"""),"Italy")</f>
        <v>Italy</v>
      </c>
      <c r="I392">
        <f>IFERROR(__xludf.DUMMYFUNCTION("""COMPUTED_VALUE"""),2213.0)</f>
        <v>2213</v>
      </c>
      <c r="J392">
        <f>IFERROR(__xludf.DUMMYFUNCTION("""COMPUTED_VALUE"""),6.0)</f>
        <v>6</v>
      </c>
      <c r="K392">
        <f>IFERROR(__xludf.DUMMYFUNCTION("""COMPUTED_VALUE"""),159.0)</f>
        <v>159</v>
      </c>
      <c r="L392" t="str">
        <f>IFERROR(__xludf.DUMMYFUNCTION("""COMPUTED_VALUE"""),"FRCSFN79E25G786T")</f>
        <v>FRCSFN79E25G786T</v>
      </c>
      <c r="M392">
        <f>IFERROR(__xludf.DUMMYFUNCTION("""COMPUTED_VALUE"""),4.0)</f>
        <v>4</v>
      </c>
      <c r="N392">
        <f>IFERROR(__xludf.DUMMYFUNCTION("""COMPUTED_VALUE"""),42221.0)</f>
        <v>42221</v>
      </c>
      <c r="O392">
        <f>IFERROR(__xludf.DUMMYFUNCTION("""COMPUTED_VALUE"""),1159.0)</f>
        <v>1159</v>
      </c>
    </row>
    <row r="393">
      <c r="A393">
        <f>IFERROR(__xludf.DUMMYFUNCTION("""COMPUTED_VALUE"""),40.6674432)</f>
        <v>40.6674432</v>
      </c>
      <c r="B393">
        <f>IFERROR(__xludf.DUMMYFUNCTION("""COMPUTED_VALUE"""),16.6077638)</f>
        <v>16.6077638</v>
      </c>
      <c r="C393" t="str">
        <f>IFERROR(__xludf.DUMMYFUNCTION("""COMPUTED_VALUE"""),"Casa Vacanza")</f>
        <v>Casa Vacanza</v>
      </c>
      <c r="D393" t="str">
        <f>IFERROR(__xludf.DUMMYFUNCTION("""COMPUTED_VALUE"""),"SAN BIAGIO")</f>
        <v>SAN BIAGIO</v>
      </c>
      <c r="E393" t="str">
        <f>IFERROR(__xludf.DUMMYFUNCTION("""COMPUTED_VALUE"""),"GRANDE GIUSEPPE")</f>
        <v>GRANDE GIUSEPPE</v>
      </c>
      <c r="F393" t="str">
        <f>IFERROR(__xludf.DUMMYFUNCTION("""COMPUTED_VALUE"""),"VIA SAN BIAGIO 31")</f>
        <v>VIA SAN BIAGIO 31</v>
      </c>
      <c r="G393" t="str">
        <f>IFERROR(__xludf.DUMMYFUNCTION("""COMPUTED_VALUE"""),"Matera")</f>
        <v>Matera</v>
      </c>
      <c r="H393" t="str">
        <f>IFERROR(__xludf.DUMMYFUNCTION("""COMPUTED_VALUE"""),"Italy")</f>
        <v>Italy</v>
      </c>
      <c r="I393">
        <f>IFERROR(__xludf.DUMMYFUNCTION("""COMPUTED_VALUE"""),2744.0)</f>
        <v>2744</v>
      </c>
      <c r="J393">
        <f>IFERROR(__xludf.DUMMYFUNCTION("""COMPUTED_VALUE"""),17.0)</f>
        <v>17</v>
      </c>
      <c r="K393">
        <f>IFERROR(__xludf.DUMMYFUNCTION("""COMPUTED_VALUE"""),159.0)</f>
        <v>159</v>
      </c>
      <c r="L393" t="str">
        <f>IFERROR(__xludf.DUMMYFUNCTION("""COMPUTED_VALUE"""),"GRNGPP50E02F052P")</f>
        <v>GRNGPP50E02F052P</v>
      </c>
      <c r="M393">
        <f>IFERROR(__xludf.DUMMYFUNCTION("""COMPUTED_VALUE"""),2.0)</f>
        <v>2</v>
      </c>
      <c r="N393">
        <f>IFERROR(__xludf.DUMMYFUNCTION("""COMPUTED_VALUE"""),42315.0)</f>
        <v>42315</v>
      </c>
      <c r="O393" t="str">
        <f>IFERROR(__xludf.DUMMYFUNCTION("""COMPUTED_VALUE"""),"")</f>
        <v/>
      </c>
    </row>
    <row r="394">
      <c r="A394">
        <f>IFERROR(__xludf.DUMMYFUNCTION("""COMPUTED_VALUE"""),40.6613551)</f>
        <v>40.6613551</v>
      </c>
      <c r="B394">
        <f>IFERROR(__xludf.DUMMYFUNCTION("""COMPUTED_VALUE"""),16.6122331)</f>
        <v>16.6122331</v>
      </c>
      <c r="C394" t="str">
        <f>IFERROR(__xludf.DUMMYFUNCTION("""COMPUTED_VALUE"""),"Casa Vacanza")</f>
        <v>Casa Vacanza</v>
      </c>
      <c r="D394" t="str">
        <f>IFERROR(__xludf.DUMMYFUNCTION("""COMPUTED_VALUE"""),"SAN FRANCESCO")</f>
        <v>SAN FRANCESCO</v>
      </c>
      <c r="E394" t="str">
        <f>IFERROR(__xludf.DUMMYFUNCTION("""COMPUTED_VALUE"""),"ROSA CARDINALE")</f>
        <v>ROSA CARDINALE</v>
      </c>
      <c r="F394" t="str">
        <f>IFERROR(__xludf.DUMMYFUNCTION("""COMPUTED_VALUE"""),"vico °1 casalnuovo 45")</f>
        <v>vico °1 casalnuovo 45</v>
      </c>
      <c r="G394" t="str">
        <f>IFERROR(__xludf.DUMMYFUNCTION("""COMPUTED_VALUE"""),"Matera")</f>
        <v>Matera</v>
      </c>
      <c r="H394" t="str">
        <f>IFERROR(__xludf.DUMMYFUNCTION("""COMPUTED_VALUE"""),"Italy")</f>
        <v>Italy</v>
      </c>
      <c r="I394">
        <f>IFERROR(__xludf.DUMMYFUNCTION("""COMPUTED_VALUE"""),2603.0)</f>
        <v>2603</v>
      </c>
      <c r="J394">
        <f>IFERROR(__xludf.DUMMYFUNCTION("""COMPUTED_VALUE"""),3.0)</f>
        <v>3</v>
      </c>
      <c r="K394">
        <f>IFERROR(__xludf.DUMMYFUNCTION("""COMPUTED_VALUE"""),159.0)</f>
        <v>159</v>
      </c>
      <c r="L394">
        <f>IFERROR(__xludf.DUMMYFUNCTION("""COMPUTED_VALUE"""),1.044760773E9)</f>
        <v>1044760773</v>
      </c>
      <c r="M394">
        <f>IFERROR(__xludf.DUMMYFUNCTION("""COMPUTED_VALUE"""),13.0)</f>
        <v>13</v>
      </c>
      <c r="N394" t="str">
        <f>IFERROR(__xludf.DUMMYFUNCTION("""COMPUTED_VALUE"""),"")</f>
        <v/>
      </c>
      <c r="O394" t="str">
        <f>IFERROR(__xludf.DUMMYFUNCTION("""COMPUTED_VALUE"""),"")</f>
        <v/>
      </c>
    </row>
    <row r="395">
      <c r="A395">
        <f>IFERROR(__xludf.DUMMYFUNCTION("""COMPUTED_VALUE"""),40.6670941)</f>
        <v>40.6670941</v>
      </c>
      <c r="B395">
        <f>IFERROR(__xludf.DUMMYFUNCTION("""COMPUTED_VALUE"""),16.6070503)</f>
        <v>16.6070503</v>
      </c>
      <c r="C395" t="str">
        <f>IFERROR(__xludf.DUMMYFUNCTION("""COMPUTED_VALUE"""),"Casa Vacanza")</f>
        <v>Casa Vacanza</v>
      </c>
      <c r="D395" t="str">
        <f>IFERROR(__xludf.DUMMYFUNCTION("""COMPUTED_VALUE"""),"SAN GIOVANNI")</f>
        <v>SAN GIOVANNI</v>
      </c>
      <c r="E395" t="str">
        <f>IFERROR(__xludf.DUMMYFUNCTION("""COMPUTED_VALUE"""),"SCHIUMA SILVIA")</f>
        <v>SCHIUMA SILVIA</v>
      </c>
      <c r="F395" t="str">
        <f>IFERROR(__xludf.DUMMYFUNCTION("""COMPUTED_VALUE"""),"VIA SA BIAGIO 39")</f>
        <v>VIA SA BIAGIO 39</v>
      </c>
      <c r="G395" t="str">
        <f>IFERROR(__xludf.DUMMYFUNCTION("""COMPUTED_VALUE"""),"Matera")</f>
        <v>Matera</v>
      </c>
      <c r="H395" t="str">
        <f>IFERROR(__xludf.DUMMYFUNCTION("""COMPUTED_VALUE"""),"Italy")</f>
        <v>Italy</v>
      </c>
      <c r="I395">
        <f>IFERROR(__xludf.DUMMYFUNCTION("""COMPUTED_VALUE"""),2747.0)</f>
        <v>2747</v>
      </c>
      <c r="J395">
        <f>IFERROR(__xludf.DUMMYFUNCTION("""COMPUTED_VALUE"""),2.0)</f>
        <v>2</v>
      </c>
      <c r="K395">
        <f>IFERROR(__xludf.DUMMYFUNCTION("""COMPUTED_VALUE"""),159.0)</f>
        <v>159</v>
      </c>
      <c r="L395" t="str">
        <f>IFERROR(__xludf.DUMMYFUNCTION("""COMPUTED_VALUE"""),"SCHSLV86B67A225M")</f>
        <v>SCHSLV86B67A225M</v>
      </c>
      <c r="M395">
        <f>IFERROR(__xludf.DUMMYFUNCTION("""COMPUTED_VALUE"""),5.0)</f>
        <v>5</v>
      </c>
      <c r="N395">
        <f>IFERROR(__xludf.DUMMYFUNCTION("""COMPUTED_VALUE"""),42979.0)</f>
        <v>42979</v>
      </c>
      <c r="O395" t="str">
        <f>IFERROR(__xludf.DUMMYFUNCTION("""COMPUTED_VALUE"""),"")</f>
        <v/>
      </c>
    </row>
    <row r="396">
      <c r="A396">
        <f>IFERROR(__xludf.DUMMYFUNCTION("""COMPUTED_VALUE"""),40.6671977)</f>
        <v>40.6671977</v>
      </c>
      <c r="B396">
        <f>IFERROR(__xludf.DUMMYFUNCTION("""COMPUTED_VALUE"""),16.6097752)</f>
        <v>16.6097752</v>
      </c>
      <c r="C396" t="str">
        <f>IFERROR(__xludf.DUMMYFUNCTION("""COMPUTED_VALUE"""),"Casa Vacanza")</f>
        <v>Casa Vacanza</v>
      </c>
      <c r="D396" t="str">
        <f>IFERROR(__xludf.DUMMYFUNCTION("""COMPUTED_VALUE"""),"SAN GIOVANNI VECCHIO RESIDENZA")</f>
        <v>SAN GIOVANNI VECCHIO RESIDENZA</v>
      </c>
      <c r="E396" t="str">
        <f>IFERROR(__xludf.DUMMYFUNCTION("""COMPUTED_VALUE"""),"STAGNO GIOVANNI")</f>
        <v>STAGNO GIOVANNI</v>
      </c>
      <c r="F396" t="str">
        <f>IFERROR(__xludf.DUMMYFUNCTION("""COMPUTED_VALUE"""),"via fiorentini 215 217 219-via san giovanni vecchio 77")</f>
        <v>via fiorentini 215 217 219-via san giovanni vecchio 77</v>
      </c>
      <c r="G396" t="str">
        <f>IFERROR(__xludf.DUMMYFUNCTION("""COMPUTED_VALUE"""),"Matera")</f>
        <v>Matera</v>
      </c>
      <c r="H396" t="str">
        <f>IFERROR(__xludf.DUMMYFUNCTION("""COMPUTED_VALUE"""),"Italy")</f>
        <v>Italy</v>
      </c>
      <c r="I396">
        <f>IFERROR(__xludf.DUMMYFUNCTION("""COMPUTED_VALUE"""),376.0)</f>
        <v>376</v>
      </c>
      <c r="J396">
        <f>IFERROR(__xludf.DUMMYFUNCTION("""COMPUTED_VALUE"""),3.0)</f>
        <v>3</v>
      </c>
      <c r="K396">
        <f>IFERROR(__xludf.DUMMYFUNCTION("""COMPUTED_VALUE"""),159.0)</f>
        <v>159</v>
      </c>
      <c r="L396">
        <f>IFERROR(__xludf.DUMMYFUNCTION("""COMPUTED_VALUE"""),1.097550774E9)</f>
        <v>1097550774</v>
      </c>
      <c r="M396">
        <f>IFERROR(__xludf.DUMMYFUNCTION("""COMPUTED_VALUE"""),10.0)</f>
        <v>10</v>
      </c>
      <c r="N396">
        <f>IFERROR(__xludf.DUMMYFUNCTION("""COMPUTED_VALUE"""),40151.0)</f>
        <v>40151</v>
      </c>
      <c r="O396" t="str">
        <f>IFERROR(__xludf.DUMMYFUNCTION("""COMPUTED_VALUE"""),"")</f>
        <v/>
      </c>
    </row>
    <row r="397">
      <c r="A397">
        <f>IFERROR(__xludf.DUMMYFUNCTION("""COMPUTED_VALUE"""),40.6683837)</f>
        <v>40.6683837</v>
      </c>
      <c r="B397">
        <f>IFERROR(__xludf.DUMMYFUNCTION("""COMPUTED_VALUE"""),16.6087421)</f>
        <v>16.6087421</v>
      </c>
      <c r="C397" t="str">
        <f>IFERROR(__xludf.DUMMYFUNCTION("""COMPUTED_VALUE"""),"Casa Vacanza")</f>
        <v>Casa Vacanza</v>
      </c>
      <c r="D397" t="str">
        <f>IFERROR(__xludf.DUMMYFUNCTION("""COMPUTED_VALUE"""),"SAN PIETRO BARISANO RESIDENCE")</f>
        <v>SAN PIETRO BARISANO RESIDENCE</v>
      </c>
      <c r="E397" t="str">
        <f>IFERROR(__xludf.DUMMYFUNCTION("""COMPUTED_VALUE"""),"DE BONIS VINCENZO")</f>
        <v>DE BONIS VINCENZO</v>
      </c>
      <c r="F397" t="str">
        <f>IFERROR(__xludf.DUMMYFUNCTION("""COMPUTED_VALUE"""),"rione san biagio 56-57-58-59-60")</f>
        <v>rione san biagio 56-57-58-59-60</v>
      </c>
      <c r="G397" t="str">
        <f>IFERROR(__xludf.DUMMYFUNCTION("""COMPUTED_VALUE"""),"Matera")</f>
        <v>Matera</v>
      </c>
      <c r="H397" t="str">
        <f>IFERROR(__xludf.DUMMYFUNCTION("""COMPUTED_VALUE"""),"Italy")</f>
        <v>Italy</v>
      </c>
      <c r="I397" t="str">
        <f>IFERROR(__xludf.DUMMYFUNCTION("""COMPUTED_VALUE"""),"")</f>
        <v/>
      </c>
      <c r="J397" t="str">
        <f>IFERROR(__xludf.DUMMYFUNCTION("""COMPUTED_VALUE"""),"")</f>
        <v/>
      </c>
      <c r="K397" t="str">
        <f>IFERROR(__xludf.DUMMYFUNCTION("""COMPUTED_VALUE"""),"")</f>
        <v/>
      </c>
      <c r="L397">
        <f>IFERROR(__xludf.DUMMYFUNCTION("""COMPUTED_VALUE"""),4.6159077E8)</f>
        <v>461590770</v>
      </c>
      <c r="M397">
        <f>IFERROR(__xludf.DUMMYFUNCTION("""COMPUTED_VALUE"""),23.0)</f>
        <v>23</v>
      </c>
      <c r="N397">
        <f>IFERROR(__xludf.DUMMYFUNCTION("""COMPUTED_VALUE"""),37974.0)</f>
        <v>37974</v>
      </c>
      <c r="O397" t="str">
        <f>IFERROR(__xludf.DUMMYFUNCTION("""COMPUTED_VALUE"""),"")</f>
        <v/>
      </c>
    </row>
    <row r="398">
      <c r="A398">
        <f>IFERROR(__xludf.DUMMYFUNCTION("""COMPUTED_VALUE"""),40.663171)</f>
        <v>40.663171</v>
      </c>
      <c r="B398">
        <f>IFERROR(__xludf.DUMMYFUNCTION("""COMPUTED_VALUE"""),16.6092755)</f>
        <v>16.6092755</v>
      </c>
      <c r="C398" t="str">
        <f>IFERROR(__xludf.DUMMYFUNCTION("""COMPUTED_VALUE"""),"Casa Vacanza")</f>
        <v>Casa Vacanza</v>
      </c>
      <c r="D398" t="str">
        <f>IFERROR(__xludf.DUMMYFUNCTION("""COMPUTED_VALUE"""),"SASSI 1618")</f>
        <v>SASSI 1618</v>
      </c>
      <c r="E398" t="str">
        <f>IFERROR(__xludf.DUMMYFUNCTION("""COMPUTED_VALUE"""),"TUBAZIO ANNA MARIA")</f>
        <v>TUBAZIO ANNA MARIA</v>
      </c>
      <c r="F398" t="str">
        <f>IFERROR(__xludf.DUMMYFUNCTION("""COMPUTED_VALUE"""),"VICO 1 DUNI16-18")</f>
        <v>VICO 1 DUNI16-18</v>
      </c>
      <c r="G398" t="str">
        <f>IFERROR(__xludf.DUMMYFUNCTION("""COMPUTED_VALUE"""),"Matera")</f>
        <v>Matera</v>
      </c>
      <c r="H398" t="str">
        <f>IFERROR(__xludf.DUMMYFUNCTION("""COMPUTED_VALUE"""),"Italy")</f>
        <v>Italy</v>
      </c>
      <c r="I398">
        <f>IFERROR(__xludf.DUMMYFUNCTION("""COMPUTED_VALUE"""),2921.0)</f>
        <v>2921</v>
      </c>
      <c r="J398">
        <f>IFERROR(__xludf.DUMMYFUNCTION("""COMPUTED_VALUE"""),6.0)</f>
        <v>6</v>
      </c>
      <c r="K398">
        <f>IFERROR(__xludf.DUMMYFUNCTION("""COMPUTED_VALUE"""),159.0)</f>
        <v>159</v>
      </c>
      <c r="L398" t="str">
        <f>IFERROR(__xludf.DUMMYFUNCTION("""COMPUTED_VALUE"""),"TBZNMR62H46F052Z")</f>
        <v>TBZNMR62H46F052Z</v>
      </c>
      <c r="M398">
        <f>IFERROR(__xludf.DUMMYFUNCTION("""COMPUTED_VALUE"""),3.0)</f>
        <v>3</v>
      </c>
      <c r="N398">
        <f>IFERROR(__xludf.DUMMYFUNCTION("""COMPUTED_VALUE"""),42151.0)</f>
        <v>42151</v>
      </c>
      <c r="O398" t="str">
        <f>IFERROR(__xludf.DUMMYFUNCTION("""COMPUTED_VALUE"""),"")</f>
        <v/>
      </c>
    </row>
    <row r="399">
      <c r="A399">
        <f>IFERROR(__xludf.DUMMYFUNCTION("""COMPUTED_VALUE"""),40.6707536325696)</f>
        <v>40.67075363</v>
      </c>
      <c r="B399">
        <f>IFERROR(__xludf.DUMMYFUNCTION("""COMPUTED_VALUE"""),16.6068165652094)</f>
        <v>16.60681657</v>
      </c>
      <c r="C399" t="str">
        <f>IFERROR(__xludf.DUMMYFUNCTION("""COMPUTED_VALUE"""),"Casa Vacanza")</f>
        <v>Casa Vacanza</v>
      </c>
      <c r="D399" t="str">
        <f>IFERROR(__xludf.DUMMYFUNCTION("""COMPUTED_VALUE"""),"SASSI A COLORI")</f>
        <v>SASSI A COLORI</v>
      </c>
      <c r="E399" t="str">
        <f>IFERROR(__xludf.DUMMYFUNCTION("""COMPUTED_VALUE"""),"PAOLA BUONO")</f>
        <v>PAOLA BUONO</v>
      </c>
      <c r="F399" t="str">
        <f>IFERROR(__xludf.DUMMYFUNCTION("""COMPUTED_VALUE"""),"VIA G. BATTISTA PENTASUGLIA 40")</f>
        <v>VIA G. BATTISTA PENTASUGLIA 40</v>
      </c>
      <c r="G399" t="str">
        <f>IFERROR(__xludf.DUMMYFUNCTION("""COMPUTED_VALUE"""),"Matera")</f>
        <v>Matera</v>
      </c>
      <c r="H399" t="str">
        <f>IFERROR(__xludf.DUMMYFUNCTION("""COMPUTED_VALUE"""),"Italy")</f>
        <v>Italy</v>
      </c>
      <c r="I399">
        <f>IFERROR(__xludf.DUMMYFUNCTION("""COMPUTED_VALUE"""),3691.0)</f>
        <v>3691</v>
      </c>
      <c r="J399">
        <f>IFERROR(__xludf.DUMMYFUNCTION("""COMPUTED_VALUE"""),1.0)</f>
        <v>1</v>
      </c>
      <c r="K399">
        <f>IFERROR(__xludf.DUMMYFUNCTION("""COMPUTED_VALUE"""),159.0)</f>
        <v>159</v>
      </c>
      <c r="L399" t="str">
        <f>IFERROR(__xludf.DUMMYFUNCTION("""COMPUTED_VALUE"""),"BNUPLA68E48F052P")</f>
        <v>BNUPLA68E48F052P</v>
      </c>
      <c r="M399">
        <f>IFERROR(__xludf.DUMMYFUNCTION("""COMPUTED_VALUE"""),4.0)</f>
        <v>4</v>
      </c>
      <c r="N399">
        <f>IFERROR(__xludf.DUMMYFUNCTION("""COMPUTED_VALUE"""),42605.0)</f>
        <v>42605</v>
      </c>
      <c r="O399" t="str">
        <f>IFERROR(__xludf.DUMMYFUNCTION("""COMPUTED_VALUE"""),"")</f>
        <v/>
      </c>
    </row>
    <row r="400">
      <c r="A400">
        <f>IFERROR(__xludf.DUMMYFUNCTION("""COMPUTED_VALUE"""),40.6660868)</f>
        <v>40.6660868</v>
      </c>
      <c r="B400">
        <f>IFERROR(__xludf.DUMMYFUNCTION("""COMPUTED_VALUE"""),16.6096812)</f>
        <v>16.6096812</v>
      </c>
      <c r="C400" t="str">
        <f>IFERROR(__xludf.DUMMYFUNCTION("""COMPUTED_VALUE"""),"Casa Vacanza")</f>
        <v>Casa Vacanza</v>
      </c>
      <c r="D400" t="str">
        <f>IFERROR(__xludf.DUMMYFUNCTION("""COMPUTED_VALUE"""),"SASSI DREAM")</f>
        <v>SASSI DREAM</v>
      </c>
      <c r="E400" t="str">
        <f>IFERROR(__xludf.DUMMYFUNCTION("""COMPUTED_VALUE"""),"ELETTI GIAMMICHELE")</f>
        <v>ELETTI GIAMMICHELE</v>
      </c>
      <c r="F400" t="str">
        <f>IFERROR(__xludf.DUMMYFUNCTION("""COMPUTED_VALUE"""),"VIA TRE CORONE 38-40")</f>
        <v>VIA TRE CORONE 38-40</v>
      </c>
      <c r="G400" t="str">
        <f>IFERROR(__xludf.DUMMYFUNCTION("""COMPUTED_VALUE"""),"Matera")</f>
        <v>Matera</v>
      </c>
      <c r="H400" t="str">
        <f>IFERROR(__xludf.DUMMYFUNCTION("""COMPUTED_VALUE"""),"Italy")</f>
        <v>Italy</v>
      </c>
      <c r="I400">
        <f>IFERROR(__xludf.DUMMYFUNCTION("""COMPUTED_VALUE"""),745.0)</f>
        <v>745</v>
      </c>
      <c r="J400">
        <f>IFERROR(__xludf.DUMMYFUNCTION("""COMPUTED_VALUE"""),7.0)</f>
        <v>7</v>
      </c>
      <c r="K400">
        <f>IFERROR(__xludf.DUMMYFUNCTION("""COMPUTED_VALUE"""),159.0)</f>
        <v>159</v>
      </c>
      <c r="L400" t="str">
        <f>IFERROR(__xludf.DUMMYFUNCTION("""COMPUTED_VALUE"""),"LTTGMC73L22F052G")</f>
        <v>LTTGMC73L22F052G</v>
      </c>
      <c r="M400">
        <f>IFERROR(__xludf.DUMMYFUNCTION("""COMPUTED_VALUE"""),4.0)</f>
        <v>4</v>
      </c>
      <c r="N400">
        <f>IFERROR(__xludf.DUMMYFUNCTION("""COMPUTED_VALUE"""),42422.0)</f>
        <v>42422</v>
      </c>
      <c r="O400" t="str">
        <f>IFERROR(__xludf.DUMMYFUNCTION("""COMPUTED_VALUE"""),"")</f>
        <v/>
      </c>
    </row>
    <row r="401">
      <c r="A401">
        <f>IFERROR(__xludf.DUMMYFUNCTION("""COMPUTED_VALUE"""),40.6648959275628)</f>
        <v>40.66489593</v>
      </c>
      <c r="B401">
        <f>IFERROR(__xludf.DUMMYFUNCTION("""COMPUTED_VALUE"""),16.6096429241822)</f>
        <v>16.60964292</v>
      </c>
      <c r="C401" t="str">
        <f>IFERROR(__xludf.DUMMYFUNCTION("""COMPUTED_VALUE"""),"Casa Vacanza")</f>
        <v>Casa Vacanza</v>
      </c>
      <c r="D401" t="str">
        <f>IFERROR(__xludf.DUMMYFUNCTION("""COMPUTED_VALUE"""),"SASSI E NUVOLE")</f>
        <v>SASSI E NUVOLE</v>
      </c>
      <c r="E401" t="str">
        <f>IFERROR(__xludf.DUMMYFUNCTION("""COMPUTED_VALUE"""),"GIUSEPPE PECORA")</f>
        <v>GIUSEPPE PECORA</v>
      </c>
      <c r="F401" t="str">
        <f>IFERROR(__xludf.DUMMYFUNCTION("""COMPUTED_VALUE"""),"VIA SAN FRANCESCO 21")</f>
        <v>VIA SAN FRANCESCO 21</v>
      </c>
      <c r="G401" t="str">
        <f>IFERROR(__xludf.DUMMYFUNCTION("""COMPUTED_VALUE"""),"Matera")</f>
        <v>Matera</v>
      </c>
      <c r="H401" t="str">
        <f>IFERROR(__xludf.DUMMYFUNCTION("""COMPUTED_VALUE"""),"Italy")</f>
        <v>Italy</v>
      </c>
      <c r="I401">
        <f>IFERROR(__xludf.DUMMYFUNCTION("""COMPUTED_VALUE"""),5351.0)</f>
        <v>5351</v>
      </c>
      <c r="J401">
        <f>IFERROR(__xludf.DUMMYFUNCTION("""COMPUTED_VALUE"""),31.0)</f>
        <v>31</v>
      </c>
      <c r="K401">
        <f>IFERROR(__xludf.DUMMYFUNCTION("""COMPUTED_VALUE"""),159.0)</f>
        <v>159</v>
      </c>
      <c r="L401" t="str">
        <f>IFERROR(__xludf.DUMMYFUNCTION("""COMPUTED_VALUE"""),"PCRGPP80C30F052D")</f>
        <v>PCRGPP80C30F052D</v>
      </c>
      <c r="M401">
        <f>IFERROR(__xludf.DUMMYFUNCTION("""COMPUTED_VALUE"""),3.0)</f>
        <v>3</v>
      </c>
      <c r="N401">
        <f>IFERROR(__xludf.DUMMYFUNCTION("""COMPUTED_VALUE"""),42123.0)</f>
        <v>42123</v>
      </c>
      <c r="O401" t="str">
        <f>IFERROR(__xludf.DUMMYFUNCTION("""COMPUTED_VALUE"""),"")</f>
        <v/>
      </c>
    </row>
    <row r="402">
      <c r="A402">
        <f>IFERROR(__xludf.DUMMYFUNCTION("""COMPUTED_VALUE"""),40.6684195)</f>
        <v>40.6684195</v>
      </c>
      <c r="B402">
        <f>IFERROR(__xludf.DUMMYFUNCTION("""COMPUTED_VALUE"""),16.6113478)</f>
        <v>16.6113478</v>
      </c>
      <c r="C402" t="str">
        <f>IFERROR(__xludf.DUMMYFUNCTION("""COMPUTED_VALUE"""),"Casa Vacanza")</f>
        <v>Casa Vacanza</v>
      </c>
      <c r="D402" t="str">
        <f>IFERROR(__xludf.DUMMYFUNCTION("""COMPUTED_VALUE"""),"SASSI E VIRTU'")</f>
        <v>SASSI E VIRTU'</v>
      </c>
      <c r="E402" t="str">
        <f>IFERROR(__xludf.DUMMYFUNCTION("""COMPUTED_VALUE"""),"FRANCESCO SACCO")</f>
        <v>FRANCESCO SACCO</v>
      </c>
      <c r="F402" t="str">
        <f>IFERROR(__xludf.DUMMYFUNCTION("""COMPUTED_VALUE"""),"VIA MADONNA DELLE VIRTU' 129")</f>
        <v>VIA MADONNA DELLE VIRTU' 129</v>
      </c>
      <c r="G402" t="str">
        <f>IFERROR(__xludf.DUMMYFUNCTION("""COMPUTED_VALUE"""),"Matera")</f>
        <v>Matera</v>
      </c>
      <c r="H402" t="str">
        <f>IFERROR(__xludf.DUMMYFUNCTION("""COMPUTED_VALUE"""),"Italy")</f>
        <v>Italy</v>
      </c>
      <c r="I402">
        <f>IFERROR(__xludf.DUMMYFUNCTION("""COMPUTED_VALUE"""),1169.0)</f>
        <v>1169</v>
      </c>
      <c r="J402">
        <f>IFERROR(__xludf.DUMMYFUNCTION("""COMPUTED_VALUE"""),2.0)</f>
        <v>2</v>
      </c>
      <c r="K402">
        <f>IFERROR(__xludf.DUMMYFUNCTION("""COMPUTED_VALUE"""),159.0)</f>
        <v>159</v>
      </c>
      <c r="L402" t="str">
        <f>IFERROR(__xludf.DUMMYFUNCTION("""COMPUTED_VALUE"""),"SCCFNC74M14C134F")</f>
        <v>SCCFNC74M14C134F</v>
      </c>
      <c r="M402">
        <f>IFERROR(__xludf.DUMMYFUNCTION("""COMPUTED_VALUE"""),4.0)</f>
        <v>4</v>
      </c>
      <c r="N402">
        <f>IFERROR(__xludf.DUMMYFUNCTION("""COMPUTED_VALUE"""),43098.0)</f>
        <v>43098</v>
      </c>
      <c r="O402" t="str">
        <f>IFERROR(__xludf.DUMMYFUNCTION("""COMPUTED_VALUE"""),"")</f>
        <v/>
      </c>
    </row>
    <row r="403">
      <c r="A403">
        <f>IFERROR(__xludf.DUMMYFUNCTION("""COMPUTED_VALUE"""),40.6651153)</f>
        <v>40.6651153</v>
      </c>
      <c r="B403">
        <f>IFERROR(__xludf.DUMMYFUNCTION("""COMPUTED_VALUE"""),16.6032909)</f>
        <v>16.6032909</v>
      </c>
      <c r="C403" t="str">
        <f>IFERROR(__xludf.DUMMYFUNCTION("""COMPUTED_VALUE"""),"Casa Vacanza")</f>
        <v>Casa Vacanza</v>
      </c>
      <c r="D403" t="str">
        <f>IFERROR(__xludf.DUMMYFUNCTION("""COMPUTED_VALUE"""),"SASSI IN CASA")</f>
        <v>SASSI IN CASA</v>
      </c>
      <c r="E403" t="str">
        <f>IFERROR(__xludf.DUMMYFUNCTION("""COMPUTED_VALUE"""),"TRALLI CRISTOFARO")</f>
        <v>TRALLI CRISTOFARO</v>
      </c>
      <c r="F403" t="str">
        <f>IFERROR(__xludf.DUMMYFUNCTION("""COMPUTED_VALUE"""),"VICO 1 PASSARELLI 6")</f>
        <v>VICO 1 PASSARELLI 6</v>
      </c>
      <c r="G403" t="str">
        <f>IFERROR(__xludf.DUMMYFUNCTION("""COMPUTED_VALUE"""),"Matera")</f>
        <v>Matera</v>
      </c>
      <c r="H403" t="str">
        <f>IFERROR(__xludf.DUMMYFUNCTION("""COMPUTED_VALUE"""),"Italy")</f>
        <v>Italy</v>
      </c>
      <c r="I403">
        <f>IFERROR(__xludf.DUMMYFUNCTION("""COMPUTED_VALUE"""),555.0)</f>
        <v>555</v>
      </c>
      <c r="J403">
        <f>IFERROR(__xludf.DUMMYFUNCTION("""COMPUTED_VALUE"""),13.0)</f>
        <v>13</v>
      </c>
      <c r="K403">
        <f>IFERROR(__xludf.DUMMYFUNCTION("""COMPUTED_VALUE"""),71.0)</f>
        <v>71</v>
      </c>
      <c r="L403" t="str">
        <f>IFERROR(__xludf.DUMMYFUNCTION("""COMPUTED_VALUE"""),"TRLCST54H17F052G")</f>
        <v>TRLCST54H17F052G</v>
      </c>
      <c r="M403">
        <f>IFERROR(__xludf.DUMMYFUNCTION("""COMPUTED_VALUE"""),3.0)</f>
        <v>3</v>
      </c>
      <c r="N403">
        <f>IFERROR(__xludf.DUMMYFUNCTION("""COMPUTED_VALUE"""),42359.0)</f>
        <v>42359</v>
      </c>
      <c r="O403" t="str">
        <f>IFERROR(__xludf.DUMMYFUNCTION("""COMPUTED_VALUE"""),"")</f>
        <v/>
      </c>
    </row>
    <row r="404">
      <c r="A404">
        <f>IFERROR(__xludf.DUMMYFUNCTION("""COMPUTED_VALUE"""),40.666525)</f>
        <v>40.666525</v>
      </c>
      <c r="B404">
        <f>IFERROR(__xludf.DUMMYFUNCTION("""COMPUTED_VALUE"""),16.609175)</f>
        <v>16.609175</v>
      </c>
      <c r="C404" t="str">
        <f>IFERROR(__xludf.DUMMYFUNCTION("""COMPUTED_VALUE"""),"Casa Vacanza")</f>
        <v>Casa Vacanza</v>
      </c>
      <c r="D404" t="str">
        <f>IFERROR(__xludf.DUMMYFUNCTION("""COMPUTED_VALUE"""),"SASSI SOTTO LE STELLE")</f>
        <v>SASSI SOTTO LE STELLE</v>
      </c>
      <c r="E404" t="str">
        <f>IFERROR(__xludf.DUMMYFUNCTION("""COMPUTED_VALUE"""),"PAOLICELLI SANDRO")</f>
        <v>PAOLICELLI SANDRO</v>
      </c>
      <c r="F404" t="str">
        <f>IFERROR(__xludf.DUMMYFUNCTION("""COMPUTED_VALUE"""),"VIA SAN VITO 15")</f>
        <v>VIA SAN VITO 15</v>
      </c>
      <c r="G404" t="str">
        <f>IFERROR(__xludf.DUMMYFUNCTION("""COMPUTED_VALUE"""),"Matera")</f>
        <v>Matera</v>
      </c>
      <c r="H404" t="str">
        <f>IFERROR(__xludf.DUMMYFUNCTION("""COMPUTED_VALUE"""),"Italy")</f>
        <v>Italy</v>
      </c>
      <c r="I404">
        <f>IFERROR(__xludf.DUMMYFUNCTION("""COMPUTED_VALUE"""),729.0)</f>
        <v>729</v>
      </c>
      <c r="J404">
        <f>IFERROR(__xludf.DUMMYFUNCTION("""COMPUTED_VALUE"""),4.0)</f>
        <v>4</v>
      </c>
      <c r="K404">
        <f>IFERROR(__xludf.DUMMYFUNCTION("""COMPUTED_VALUE"""),159.0)</f>
        <v>159</v>
      </c>
      <c r="L404" t="str">
        <f>IFERROR(__xludf.DUMMYFUNCTION("""COMPUTED_VALUE"""),"PLCSDR80C21F052Z")</f>
        <v>PLCSDR80C21F052Z</v>
      </c>
      <c r="M404">
        <f>IFERROR(__xludf.DUMMYFUNCTION("""COMPUTED_VALUE"""),3.0)</f>
        <v>3</v>
      </c>
      <c r="N404">
        <f>IFERROR(__xludf.DUMMYFUNCTION("""COMPUTED_VALUE"""),42825.0)</f>
        <v>42825</v>
      </c>
      <c r="O404">
        <f>IFERROR(__xludf.DUMMYFUNCTION("""COMPUTED_VALUE"""),1018.0)</f>
        <v>1018</v>
      </c>
    </row>
    <row r="405">
      <c r="A405">
        <f>IFERROR(__xludf.DUMMYFUNCTION("""COMPUTED_VALUE"""),40.6650887)</f>
        <v>40.6650887</v>
      </c>
      <c r="B405">
        <f>IFERROR(__xludf.DUMMYFUNCTION("""COMPUTED_VALUE"""),16.6024979)</f>
        <v>16.6024979</v>
      </c>
      <c r="C405" t="str">
        <f>IFERROR(__xludf.DUMMYFUNCTION("""COMPUTED_VALUE"""),"Casa Vacanza")</f>
        <v>Casa Vacanza</v>
      </c>
      <c r="D405" t="str">
        <f>IFERROR(__xludf.DUMMYFUNCTION("""COMPUTED_VALUE"""),"SASSI VACANZE")</f>
        <v>SASSI VACANZE</v>
      </c>
      <c r="E405" t="str">
        <f>IFERROR(__xludf.DUMMYFUNCTION("""COMPUTED_VALUE"""),"PERRONE VINCENZA")</f>
        <v>PERRONE VINCENZA</v>
      </c>
      <c r="F405" t="str">
        <f>IFERROR(__xludf.DUMMYFUNCTION("""COMPUTED_VALUE"""),"LARGO PASSARELLI 5")</f>
        <v>LARGO PASSARELLI 5</v>
      </c>
      <c r="G405" t="str">
        <f>IFERROR(__xludf.DUMMYFUNCTION("""COMPUTED_VALUE"""),"Matera")</f>
        <v>Matera</v>
      </c>
      <c r="H405" t="str">
        <f>IFERROR(__xludf.DUMMYFUNCTION("""COMPUTED_VALUE"""),"Italy")</f>
        <v>Italy</v>
      </c>
      <c r="I405">
        <f>IFERROR(__xludf.DUMMYFUNCTION("""COMPUTED_VALUE"""),212.0)</f>
        <v>212</v>
      </c>
      <c r="J405">
        <f>IFERROR(__xludf.DUMMYFUNCTION("""COMPUTED_VALUE"""),2.0)</f>
        <v>2</v>
      </c>
      <c r="K405">
        <f>IFERROR(__xludf.DUMMYFUNCTION("""COMPUTED_VALUE"""),71.0)</f>
        <v>71</v>
      </c>
      <c r="L405" t="str">
        <f>IFERROR(__xludf.DUMMYFUNCTION("""COMPUTED_VALUE"""),"PRRVCN55A42F399H")</f>
        <v>PRRVCN55A42F399H</v>
      </c>
      <c r="M405">
        <f>IFERROR(__xludf.DUMMYFUNCTION("""COMPUTED_VALUE"""),3.0)</f>
        <v>3</v>
      </c>
      <c r="N405">
        <f>IFERROR(__xludf.DUMMYFUNCTION("""COMPUTED_VALUE"""),43535.0)</f>
        <v>43535</v>
      </c>
      <c r="O405">
        <f>IFERROR(__xludf.DUMMYFUNCTION("""COMPUTED_VALUE"""),1747.0)</f>
        <v>1747</v>
      </c>
    </row>
    <row r="406">
      <c r="A406">
        <f>IFERROR(__xludf.DUMMYFUNCTION("""COMPUTED_VALUE"""),40.6675154)</f>
        <v>40.6675154</v>
      </c>
      <c r="B406">
        <f>IFERROR(__xludf.DUMMYFUNCTION("""COMPUTED_VALUE"""),16.610122)</f>
        <v>16.610122</v>
      </c>
      <c r="C406" t="str">
        <f>IFERROR(__xludf.DUMMYFUNCTION("""COMPUTED_VALUE"""),"Casa Vacanza")</f>
        <v>Casa Vacanza</v>
      </c>
      <c r="D406" t="str">
        <f>IFERROR(__xludf.DUMMYFUNCTION("""COMPUTED_VALUE"""),"SAX BARISANO")</f>
        <v>SAX BARISANO</v>
      </c>
      <c r="E406" t="str">
        <f>IFERROR(__xludf.DUMMYFUNCTION("""COMPUTED_VALUE"""),"ALDO MONTEMURRO")</f>
        <v>ALDO MONTEMURRO</v>
      </c>
      <c r="F406" t="str">
        <f>IFERROR(__xludf.DUMMYFUNCTION("""COMPUTED_VALUE"""),"VIA FIORENTINI 243")</f>
        <v>VIA FIORENTINI 243</v>
      </c>
      <c r="G406" t="str">
        <f>IFERROR(__xludf.DUMMYFUNCTION("""COMPUTED_VALUE"""),"Matera")</f>
        <v>Matera</v>
      </c>
      <c r="H406" t="str">
        <f>IFERROR(__xludf.DUMMYFUNCTION("""COMPUTED_VALUE"""),"Italy")</f>
        <v>Italy</v>
      </c>
      <c r="I406">
        <f>IFERROR(__xludf.DUMMYFUNCTION("""COMPUTED_VALUE"""),308.0)</f>
        <v>308</v>
      </c>
      <c r="J406">
        <f>IFERROR(__xludf.DUMMYFUNCTION("""COMPUTED_VALUE"""),3.0)</f>
        <v>3</v>
      </c>
      <c r="K406">
        <f>IFERROR(__xludf.DUMMYFUNCTION("""COMPUTED_VALUE"""),159.0)</f>
        <v>159</v>
      </c>
      <c r="L406">
        <f>IFERROR(__xludf.DUMMYFUNCTION("""COMPUTED_VALUE"""),1.078530779E9)</f>
        <v>1078530779</v>
      </c>
      <c r="M406">
        <f>IFERROR(__xludf.DUMMYFUNCTION("""COMPUTED_VALUE"""),9.0)</f>
        <v>9</v>
      </c>
      <c r="N406">
        <f>IFERROR(__xludf.DUMMYFUNCTION("""COMPUTED_VALUE"""),41255.0)</f>
        <v>41255</v>
      </c>
      <c r="O406" t="str">
        <f>IFERROR(__xludf.DUMMYFUNCTION("""COMPUTED_VALUE"""),"")</f>
        <v/>
      </c>
    </row>
    <row r="407">
      <c r="A407">
        <f>IFERROR(__xludf.DUMMYFUNCTION("""COMPUTED_VALUE"""),40.6707536325696)</f>
        <v>40.67075363</v>
      </c>
      <c r="B407">
        <f>IFERROR(__xludf.DUMMYFUNCTION("""COMPUTED_VALUE"""),16.6068165652094)</f>
        <v>16.60681657</v>
      </c>
      <c r="C407" t="str">
        <f>IFERROR(__xludf.DUMMYFUNCTION("""COMPUTED_VALUE"""),"Casa Vacanza")</f>
        <v>Casa Vacanza</v>
      </c>
      <c r="D407" t="str">
        <f>IFERROR(__xludf.DUMMYFUNCTION("""COMPUTED_VALUE"""),"SEI A CASA")</f>
        <v>SEI A CASA</v>
      </c>
      <c r="E407" t="str">
        <f>IFERROR(__xludf.DUMMYFUNCTION("""COMPUTED_VALUE"""),"NICOLA LEROSE")</f>
        <v>NICOLA LEROSE</v>
      </c>
      <c r="F407" t="str">
        <f>IFERROR(__xludf.DUMMYFUNCTION("""COMPUTED_VALUE"""),"VIA GATTINI 6 1 PIANO")</f>
        <v>VIA GATTINI 6 1 PIANO</v>
      </c>
      <c r="G407" t="str">
        <f>IFERROR(__xludf.DUMMYFUNCTION("""COMPUTED_VALUE"""),"Matera")</f>
        <v>Matera</v>
      </c>
      <c r="H407" t="str">
        <f>IFERROR(__xludf.DUMMYFUNCTION("""COMPUTED_VALUE"""),"Italy")</f>
        <v>Italy</v>
      </c>
      <c r="I407">
        <f>IFERROR(__xludf.DUMMYFUNCTION("""COMPUTED_VALUE"""),3691.0)</f>
        <v>3691</v>
      </c>
      <c r="J407">
        <f>IFERROR(__xludf.DUMMYFUNCTION("""COMPUTED_VALUE"""),27.0)</f>
        <v>27</v>
      </c>
      <c r="K407">
        <f>IFERROR(__xludf.DUMMYFUNCTION("""COMPUTED_VALUE"""),159.0)</f>
        <v>159</v>
      </c>
      <c r="L407" t="str">
        <f>IFERROR(__xludf.DUMMYFUNCTION("""COMPUTED_VALUE"""),"LRSNCL80C30F052G")</f>
        <v>LRSNCL80C30F052G</v>
      </c>
      <c r="M407">
        <f>IFERROR(__xludf.DUMMYFUNCTION("""COMPUTED_VALUE"""),3.0)</f>
        <v>3</v>
      </c>
      <c r="N407">
        <f>IFERROR(__xludf.DUMMYFUNCTION("""COMPUTED_VALUE"""),42886.0)</f>
        <v>42886</v>
      </c>
      <c r="O407" t="str">
        <f>IFERROR(__xludf.DUMMYFUNCTION("""COMPUTED_VALUE"""),"")</f>
        <v/>
      </c>
    </row>
    <row r="408">
      <c r="A408">
        <f>IFERROR(__xludf.DUMMYFUNCTION("""COMPUTED_VALUE"""),40.6678889296743)</f>
        <v>40.66788893</v>
      </c>
      <c r="B408">
        <f>IFERROR(__xludf.DUMMYFUNCTION("""COMPUTED_VALUE"""),16.6077236584571)</f>
        <v>16.60772366</v>
      </c>
      <c r="C408" t="str">
        <f>IFERROR(__xludf.DUMMYFUNCTION("""COMPUTED_VALUE"""),"Casa Vacanza")</f>
        <v>Casa Vacanza</v>
      </c>
      <c r="D408" t="str">
        <f>IFERROR(__xludf.DUMMYFUNCTION("""COMPUTED_VALUE"""),"SMILE HOUSE MATERA")</f>
        <v>SMILE HOUSE MATERA</v>
      </c>
      <c r="E408" t="str">
        <f>IFERROR(__xludf.DUMMYFUNCTION("""COMPUTED_VALUE"""),"MARCELLA QUINTO")</f>
        <v>MARCELLA QUINTO</v>
      </c>
      <c r="F408" t="str">
        <f>IFERROR(__xludf.DUMMYFUNCTION("""COMPUTED_VALUE"""),"VICO XX SETTEMBRE 40")</f>
        <v>VICO XX SETTEMBRE 40</v>
      </c>
      <c r="G408" t="str">
        <f>IFERROR(__xludf.DUMMYFUNCTION("""COMPUTED_VALUE"""),"Matera")</f>
        <v>Matera</v>
      </c>
      <c r="H408" t="str">
        <f>IFERROR(__xludf.DUMMYFUNCTION("""COMPUTED_VALUE"""),"Italy")</f>
        <v>Italy</v>
      </c>
      <c r="I408">
        <f>IFERROR(__xludf.DUMMYFUNCTION("""COMPUTED_VALUE"""),3987.0)</f>
        <v>3987</v>
      </c>
      <c r="J408">
        <f>IFERROR(__xludf.DUMMYFUNCTION("""COMPUTED_VALUE"""),32.0)</f>
        <v>32</v>
      </c>
      <c r="K408">
        <f>IFERROR(__xludf.DUMMYFUNCTION("""COMPUTED_VALUE"""),159.0)</f>
        <v>159</v>
      </c>
      <c r="L408" t="str">
        <f>IFERROR(__xludf.DUMMYFUNCTION("""COMPUTED_VALUE"""),"QNTMCL59R55F052V")</f>
        <v>QNTMCL59R55F052V</v>
      </c>
      <c r="M408">
        <f>IFERROR(__xludf.DUMMYFUNCTION("""COMPUTED_VALUE"""),4.0)</f>
        <v>4</v>
      </c>
      <c r="N408">
        <f>IFERROR(__xludf.DUMMYFUNCTION("""COMPUTED_VALUE"""),42441.0)</f>
        <v>42441</v>
      </c>
      <c r="O408" t="str">
        <f>IFERROR(__xludf.DUMMYFUNCTION("""COMPUTED_VALUE"""),"")</f>
        <v/>
      </c>
    </row>
    <row r="409">
      <c r="A409">
        <f>IFERROR(__xludf.DUMMYFUNCTION("""COMPUTED_VALUE"""),40.6655718369144)</f>
        <v>40.66557184</v>
      </c>
      <c r="B409">
        <f>IFERROR(__xludf.DUMMYFUNCTION("""COMPUTED_VALUE"""),16.6119485516112)</f>
        <v>16.61194855</v>
      </c>
      <c r="C409" t="str">
        <f>IFERROR(__xludf.DUMMYFUNCTION("""COMPUTED_VALUE"""),"Casa Vacanza")</f>
        <v>Casa Vacanza</v>
      </c>
      <c r="D409" t="str">
        <f>IFERROR(__xludf.DUMMYFUNCTION("""COMPUTED_VALUE"""),"SOLOSUD CASA VACANZA")</f>
        <v>SOLOSUD CASA VACANZA</v>
      </c>
      <c r="E409" t="str">
        <f>IFERROR(__xludf.DUMMYFUNCTION("""COMPUTED_VALUE"""),"PAOLA DE DONNO")</f>
        <v>PAOLA DE DONNO</v>
      </c>
      <c r="F409" t="str">
        <f>IFERROR(__xludf.DUMMYFUNCTION("""COMPUTED_VALUE"""),"VIA SAN GIACOMO 21")</f>
        <v>VIA SAN GIACOMO 21</v>
      </c>
      <c r="G409" t="str">
        <f>IFERROR(__xludf.DUMMYFUNCTION("""COMPUTED_VALUE"""),"Matera")</f>
        <v>Matera</v>
      </c>
      <c r="H409" t="str">
        <f>IFERROR(__xludf.DUMMYFUNCTION("""COMPUTED_VALUE"""),"Italy")</f>
        <v>Italy</v>
      </c>
      <c r="I409">
        <f>IFERROR(__xludf.DUMMYFUNCTION("""COMPUTED_VALUE"""),1600.0)</f>
        <v>1600</v>
      </c>
      <c r="J409">
        <f>IFERROR(__xludf.DUMMYFUNCTION("""COMPUTED_VALUE"""),5.0)</f>
        <v>5</v>
      </c>
      <c r="K409">
        <f>IFERROR(__xludf.DUMMYFUNCTION("""COMPUTED_VALUE"""),159.0)</f>
        <v>159</v>
      </c>
      <c r="L409" t="str">
        <f>IFERROR(__xludf.DUMMYFUNCTION("""COMPUTED_VALUE"""),"DDNPLA60R53F052W")</f>
        <v>DDNPLA60R53F052W</v>
      </c>
      <c r="M409">
        <f>IFERROR(__xludf.DUMMYFUNCTION("""COMPUTED_VALUE"""),4.0)</f>
        <v>4</v>
      </c>
      <c r="N409">
        <f>IFERROR(__xludf.DUMMYFUNCTION("""COMPUTED_VALUE"""),42431.0)</f>
        <v>42431</v>
      </c>
      <c r="O409" t="str">
        <f>IFERROR(__xludf.DUMMYFUNCTION("""COMPUTED_VALUE"""),"")</f>
        <v/>
      </c>
    </row>
    <row r="410">
      <c r="A410">
        <f>IFERROR(__xludf.DUMMYFUNCTION("""COMPUTED_VALUE"""),40.6788352513604)</f>
        <v>40.67883525</v>
      </c>
      <c r="B410">
        <f>IFERROR(__xludf.DUMMYFUNCTION("""COMPUTED_VALUE"""),16.5938772271609)</f>
        <v>16.59387723</v>
      </c>
      <c r="C410" t="str">
        <f>IFERROR(__xludf.DUMMYFUNCTION("""COMPUTED_VALUE"""),"Casa Vacanza")</f>
        <v>Casa Vacanza</v>
      </c>
      <c r="D410" t="str">
        <f>IFERROR(__xludf.DUMMYFUNCTION("""COMPUTED_VALUE"""),"SORELLE CASA VACANZA")</f>
        <v>SORELLE CASA VACANZA</v>
      </c>
      <c r="E410" t="str">
        <f>IFERROR(__xludf.DUMMYFUNCTION("""COMPUTED_VALUE"""),"PETRAGALLO FRANCESCA")</f>
        <v>PETRAGALLO FRANCESCA</v>
      </c>
      <c r="F410" t="str">
        <f>IFERROR(__xludf.DUMMYFUNCTION("""COMPUTED_VALUE"""),"VICO COLANGIULI 2")</f>
        <v>VICO COLANGIULI 2</v>
      </c>
      <c r="G410" t="str">
        <f>IFERROR(__xludf.DUMMYFUNCTION("""COMPUTED_VALUE"""),"Matera")</f>
        <v>Matera</v>
      </c>
      <c r="H410" t="str">
        <f>IFERROR(__xludf.DUMMYFUNCTION("""COMPUTED_VALUE"""),"Italy")</f>
        <v>Italy</v>
      </c>
      <c r="I410">
        <f>IFERROR(__xludf.DUMMYFUNCTION("""COMPUTED_VALUE"""),237.0)</f>
        <v>237</v>
      </c>
      <c r="J410">
        <f>IFERROR(__xludf.DUMMYFUNCTION("""COMPUTED_VALUE"""),8.0)</f>
        <v>8</v>
      </c>
      <c r="K410">
        <f>IFERROR(__xludf.DUMMYFUNCTION("""COMPUTED_VALUE"""),70.0)</f>
        <v>70</v>
      </c>
      <c r="L410" t="str">
        <f>IFERROR(__xludf.DUMMYFUNCTION("""COMPUTED_VALUE"""),"PTRFNC62E51F052A")</f>
        <v>PTRFNC62E51F052A</v>
      </c>
      <c r="M410">
        <f>IFERROR(__xludf.DUMMYFUNCTION("""COMPUTED_VALUE"""),4.0)</f>
        <v>4</v>
      </c>
      <c r="N410">
        <f>IFERROR(__xludf.DUMMYFUNCTION("""COMPUTED_VALUE"""),43227.0)</f>
        <v>43227</v>
      </c>
      <c r="O410" t="str">
        <f>IFERROR(__xludf.DUMMYFUNCTION("""COMPUTED_VALUE"""),"")</f>
        <v/>
      </c>
    </row>
    <row r="411">
      <c r="A411">
        <f>IFERROR(__xludf.DUMMYFUNCTION("""COMPUTED_VALUE"""),40.6637629127255)</f>
        <v>40.66376291</v>
      </c>
      <c r="B411">
        <f>IFERROR(__xludf.DUMMYFUNCTION("""COMPUTED_VALUE"""),16.5974137311493)</f>
        <v>16.59741373</v>
      </c>
      <c r="C411" t="str">
        <f>IFERROR(__xludf.DUMMYFUNCTION("""COMPUTED_VALUE"""),"Casa Vacanza")</f>
        <v>Casa Vacanza</v>
      </c>
      <c r="D411" t="str">
        <f>IFERROR(__xludf.DUMMYFUNCTION("""COMPUTED_VALUE"""),"SOTTO I PINI")</f>
        <v>SOTTO I PINI</v>
      </c>
      <c r="E411" t="str">
        <f>IFERROR(__xludf.DUMMYFUNCTION("""COMPUTED_VALUE"""),"MARSICANO DOMENICO")</f>
        <v>MARSICANO DOMENICO</v>
      </c>
      <c r="F411" t="str">
        <f>IFERROR(__xludf.DUMMYFUNCTION("""COMPUTED_VALUE"""),"VIA TIMMARI 33")</f>
        <v>VIA TIMMARI 33</v>
      </c>
      <c r="G411" t="str">
        <f>IFERROR(__xludf.DUMMYFUNCTION("""COMPUTED_VALUE"""),"Matera")</f>
        <v>Matera</v>
      </c>
      <c r="H411" t="str">
        <f>IFERROR(__xludf.DUMMYFUNCTION("""COMPUTED_VALUE"""),"Italy")</f>
        <v>Italy</v>
      </c>
      <c r="I411">
        <f>IFERROR(__xludf.DUMMYFUNCTION("""COMPUTED_VALUE"""),1804.0)</f>
        <v>1804</v>
      </c>
      <c r="J411">
        <f>IFERROR(__xludf.DUMMYFUNCTION("""COMPUTED_VALUE"""),137.0)</f>
        <v>137</v>
      </c>
      <c r="K411">
        <f>IFERROR(__xludf.DUMMYFUNCTION("""COMPUTED_VALUE"""),71.0)</f>
        <v>71</v>
      </c>
      <c r="L411" t="str">
        <f>IFERROR(__xludf.DUMMYFUNCTION("""COMPUTED_VALUE"""),"MRSDNC58M26L049J")</f>
        <v>MRSDNC58M26L049J</v>
      </c>
      <c r="M411">
        <f>IFERROR(__xludf.DUMMYFUNCTION("""COMPUTED_VALUE"""),8.0)</f>
        <v>8</v>
      </c>
      <c r="N411">
        <f>IFERROR(__xludf.DUMMYFUNCTION("""COMPUTED_VALUE"""),43180.0)</f>
        <v>43180</v>
      </c>
      <c r="O411" t="str">
        <f>IFERROR(__xludf.DUMMYFUNCTION("""COMPUTED_VALUE"""),"")</f>
        <v/>
      </c>
    </row>
    <row r="412">
      <c r="A412">
        <f>IFERROR(__xludf.DUMMYFUNCTION("""COMPUTED_VALUE"""),40.6638292953635)</f>
        <v>40.6638293</v>
      </c>
      <c r="B412">
        <f>IFERROR(__xludf.DUMMYFUNCTION("""COMPUTED_VALUE"""),16.6112101032976)</f>
        <v>16.6112101</v>
      </c>
      <c r="C412" t="str">
        <f>IFERROR(__xludf.DUMMYFUNCTION("""COMPUTED_VALUE"""),"Casa vacanza")</f>
        <v>Casa vacanza</v>
      </c>
      <c r="D412" t="str">
        <f>IFERROR(__xludf.DUMMYFUNCTION("""COMPUTED_VALUE"""),"SOTTO L'IDRIS")</f>
        <v>SOTTO L'IDRIS</v>
      </c>
      <c r="E412" t="str">
        <f>IFERROR(__xludf.DUMMYFUNCTION("""COMPUTED_VALUE"""),"D'ERRICO DOMENICO")</f>
        <v>D'ERRICO DOMENICO</v>
      </c>
      <c r="F412" t="str">
        <f>IFERROR(__xludf.DUMMYFUNCTION("""COMPUTED_VALUE"""),"VIA BRUNO BUOZZI 95")</f>
        <v>VIA BRUNO BUOZZI 95</v>
      </c>
      <c r="G412" t="str">
        <f>IFERROR(__xludf.DUMMYFUNCTION("""COMPUTED_VALUE"""),"Matera")</f>
        <v>Matera</v>
      </c>
      <c r="H412" t="str">
        <f>IFERROR(__xludf.DUMMYFUNCTION("""COMPUTED_VALUE"""),"Italy")</f>
        <v>Italy</v>
      </c>
      <c r="I412">
        <f>IFERROR(__xludf.DUMMYFUNCTION("""COMPUTED_VALUE"""),2105.0)</f>
        <v>2105</v>
      </c>
      <c r="J412">
        <f>IFERROR(__xludf.DUMMYFUNCTION("""COMPUTED_VALUE"""),2.0)</f>
        <v>2</v>
      </c>
      <c r="K412">
        <f>IFERROR(__xludf.DUMMYFUNCTION("""COMPUTED_VALUE"""),159.0)</f>
        <v>159</v>
      </c>
      <c r="L412" t="str">
        <f>IFERROR(__xludf.DUMMYFUNCTION("""COMPUTED_VALUE"""),"DRRDNC68D23A662S")</f>
        <v>DRRDNC68D23A662S</v>
      </c>
      <c r="M412">
        <f>IFERROR(__xludf.DUMMYFUNCTION("""COMPUTED_VALUE"""),2.0)</f>
        <v>2</v>
      </c>
      <c r="N412">
        <f>IFERROR(__xludf.DUMMYFUNCTION("""COMPUTED_VALUE"""),43293.0)</f>
        <v>43293</v>
      </c>
      <c r="O412" t="str">
        <f>IFERROR(__xludf.DUMMYFUNCTION("""COMPUTED_VALUE"""),"")</f>
        <v/>
      </c>
    </row>
    <row r="413">
      <c r="A413">
        <f>IFERROR(__xludf.DUMMYFUNCTION("""COMPUTED_VALUE"""),40.66825)</f>
        <v>40.66825</v>
      </c>
      <c r="B413">
        <f>IFERROR(__xludf.DUMMYFUNCTION("""COMPUTED_VALUE"""),16.6000476)</f>
        <v>16.6000476</v>
      </c>
      <c r="C413" t="str">
        <f>IFERROR(__xludf.DUMMYFUNCTION("""COMPUTED_VALUE"""),"Casa Vacanza")</f>
        <v>Casa Vacanza</v>
      </c>
      <c r="D413" t="str">
        <f>IFERROR(__xludf.DUMMYFUNCTION("""COMPUTED_VALUE"""),"SUITE 102")</f>
        <v>SUITE 102</v>
      </c>
      <c r="E413" t="str">
        <f>IFERROR(__xludf.DUMMYFUNCTION("""COMPUTED_VALUE"""),"PETRILLO MARIA TERESA")</f>
        <v>PETRILLO MARIA TERESA</v>
      </c>
      <c r="F413" t="str">
        <f>IFERROR(__xludf.DUMMYFUNCTION("""COMPUTED_VALUE"""),"VIA UGO LA MALFA 102")</f>
        <v>VIA UGO LA MALFA 102</v>
      </c>
      <c r="G413" t="str">
        <f>IFERROR(__xludf.DUMMYFUNCTION("""COMPUTED_VALUE"""),"Matera")</f>
        <v>Matera</v>
      </c>
      <c r="H413" t="str">
        <f>IFERROR(__xludf.DUMMYFUNCTION("""COMPUTED_VALUE"""),"Italy")</f>
        <v>Italy</v>
      </c>
      <c r="I413">
        <f>IFERROR(__xludf.DUMMYFUNCTION("""COMPUTED_VALUE"""),1385.0)</f>
        <v>1385</v>
      </c>
      <c r="J413">
        <f>IFERROR(__xludf.DUMMYFUNCTION("""COMPUTED_VALUE"""),85.0)</f>
        <v>85</v>
      </c>
      <c r="K413">
        <f>IFERROR(__xludf.DUMMYFUNCTION("""COMPUTED_VALUE"""),71.0)</f>
        <v>71</v>
      </c>
      <c r="L413" t="str">
        <f>IFERROR(__xludf.DUMMYFUNCTION("""COMPUTED_VALUE"""),"PTRMTR63A67F637Z")</f>
        <v>PTRMTR63A67F637Z</v>
      </c>
      <c r="M413">
        <f>IFERROR(__xludf.DUMMYFUNCTION("""COMPUTED_VALUE"""),3.0)</f>
        <v>3</v>
      </c>
      <c r="N413">
        <f>IFERROR(__xludf.DUMMYFUNCTION("""COMPUTED_VALUE"""),42442.0)</f>
        <v>42442</v>
      </c>
      <c r="O413" t="str">
        <f>IFERROR(__xludf.DUMMYFUNCTION("""COMPUTED_VALUE"""),"")</f>
        <v/>
      </c>
    </row>
    <row r="414">
      <c r="A414">
        <f>IFERROR(__xludf.DUMMYFUNCTION("""COMPUTED_VALUE"""),40.6646381)</f>
        <v>40.6646381</v>
      </c>
      <c r="B414">
        <f>IFERROR(__xludf.DUMMYFUNCTION("""COMPUTED_VALUE"""),16.6114037)</f>
        <v>16.6114037</v>
      </c>
      <c r="C414" t="str">
        <f>IFERROR(__xludf.DUMMYFUNCTION("""COMPUTED_VALUE"""),"Casa Vacanza")</f>
        <v>Casa Vacanza</v>
      </c>
      <c r="D414" t="str">
        <f>IFERROR(__xludf.DUMMYFUNCTION("""COMPUTED_VALUE"""),"SUITE I TRE PORTALI")</f>
        <v>SUITE I TRE PORTALI</v>
      </c>
      <c r="E414" t="str">
        <f>IFERROR(__xludf.DUMMYFUNCTION("""COMPUTED_VALUE"""),"LOSCO VITTORIO LUCA F.")</f>
        <v>LOSCO VITTORIO LUCA F.</v>
      </c>
      <c r="F414" t="str">
        <f>IFERROR(__xludf.DUMMYFUNCTION("""COMPUTED_VALUE"""),"RIONE PIANELLE 87-88")</f>
        <v>RIONE PIANELLE 87-88</v>
      </c>
      <c r="G414" t="str">
        <f>IFERROR(__xludf.DUMMYFUNCTION("""COMPUTED_VALUE"""),"Matera")</f>
        <v>Matera</v>
      </c>
      <c r="H414" t="str">
        <f>IFERROR(__xludf.DUMMYFUNCTION("""COMPUTED_VALUE"""),"Italy")</f>
        <v>Italy</v>
      </c>
      <c r="I414">
        <f>IFERROR(__xludf.DUMMYFUNCTION("""COMPUTED_VALUE"""),1679.0)</f>
        <v>1679</v>
      </c>
      <c r="J414">
        <f>IFERROR(__xludf.DUMMYFUNCTION("""COMPUTED_VALUE"""),2.0)</f>
        <v>2</v>
      </c>
      <c r="K414">
        <f>IFERROR(__xludf.DUMMYFUNCTION("""COMPUTED_VALUE"""),159.0)</f>
        <v>159</v>
      </c>
      <c r="L414" t="str">
        <f>IFERROR(__xludf.DUMMYFUNCTION("""COMPUTED_VALUE"""),"LSCVTR75B20F052Q")</f>
        <v>LSCVTR75B20F052Q</v>
      </c>
      <c r="M414">
        <f>IFERROR(__xludf.DUMMYFUNCTION("""COMPUTED_VALUE"""),2.0)</f>
        <v>2</v>
      </c>
      <c r="N414">
        <f>IFERROR(__xludf.DUMMYFUNCTION("""COMPUTED_VALUE"""),42830.0)</f>
        <v>42830</v>
      </c>
      <c r="O414">
        <f>IFERROR(__xludf.DUMMYFUNCTION("""COMPUTED_VALUE"""),1249.0)</f>
        <v>1249</v>
      </c>
    </row>
    <row r="415">
      <c r="A415">
        <f>IFERROR(__xludf.DUMMYFUNCTION("""COMPUTED_VALUE"""),40.6672354)</f>
        <v>40.6672354</v>
      </c>
      <c r="B415">
        <f>IFERROR(__xludf.DUMMYFUNCTION("""COMPUTED_VALUE"""),16.6036485)</f>
        <v>16.6036485</v>
      </c>
      <c r="C415" t="str">
        <f>IFERROR(__xludf.DUMMYFUNCTION("""COMPUTED_VALUE"""),"Casa Vacanza")</f>
        <v>Casa Vacanza</v>
      </c>
      <c r="D415" t="str">
        <f>IFERROR(__xludf.DUMMYFUNCTION("""COMPUTED_VALUE"""),"SUITE VITTORIO VENETO")</f>
        <v>SUITE VITTORIO VENETO</v>
      </c>
      <c r="E415" t="str">
        <f>IFERROR(__xludf.DUMMYFUNCTION("""COMPUTED_VALUE"""),"MATERA HOTELS SRL")</f>
        <v>MATERA HOTELS SRL</v>
      </c>
      <c r="F415" t="str">
        <f>IFERROR(__xludf.DUMMYFUNCTION("""COMPUTED_VALUE"""),"VIA ROMA 38")</f>
        <v>VIA ROMA 38</v>
      </c>
      <c r="G415" t="str">
        <f>IFERROR(__xludf.DUMMYFUNCTION("""COMPUTED_VALUE"""),"Matera")</f>
        <v>Matera</v>
      </c>
      <c r="H415" t="str">
        <f>IFERROR(__xludf.DUMMYFUNCTION("""COMPUTED_VALUE"""),"Italy")</f>
        <v>Italy</v>
      </c>
      <c r="I415">
        <f>IFERROR(__xludf.DUMMYFUNCTION("""COMPUTED_VALUE"""),4058.0)</f>
        <v>4058</v>
      </c>
      <c r="J415">
        <f>IFERROR(__xludf.DUMMYFUNCTION("""COMPUTED_VALUE"""),15.0)</f>
        <v>15</v>
      </c>
      <c r="K415">
        <f>IFERROR(__xludf.DUMMYFUNCTION("""COMPUTED_VALUE"""),159.0)</f>
        <v>159</v>
      </c>
      <c r="L415">
        <f>IFERROR(__xludf.DUMMYFUNCTION("""COMPUTED_VALUE"""),1.250050778E9)</f>
        <v>1250050778</v>
      </c>
      <c r="M415">
        <f>IFERROR(__xludf.DUMMYFUNCTION("""COMPUTED_VALUE"""),5.0)</f>
        <v>5</v>
      </c>
      <c r="N415">
        <f>IFERROR(__xludf.DUMMYFUNCTION("""COMPUTED_VALUE"""),43000.0)</f>
        <v>43000</v>
      </c>
      <c r="O415" t="str">
        <f>IFERROR(__xludf.DUMMYFUNCTION("""COMPUTED_VALUE"""),"")</f>
        <v/>
      </c>
    </row>
    <row r="416">
      <c r="A416">
        <f>IFERROR(__xludf.DUMMYFUNCTION("""COMPUTED_VALUE"""),40.6674937)</f>
        <v>40.6674937</v>
      </c>
      <c r="B416">
        <f>IFERROR(__xludf.DUMMYFUNCTION("""COMPUTED_VALUE"""),16.6045006)</f>
        <v>16.6045006</v>
      </c>
      <c r="C416" t="str">
        <f>IFERROR(__xludf.DUMMYFUNCTION("""COMPUTED_VALUE"""),"Casa Vacanza")</f>
        <v>Casa Vacanza</v>
      </c>
      <c r="D416" t="str">
        <f>IFERROR(__xludf.DUMMYFUNCTION("""COMPUTED_VALUE"""),"SUL TEATRO")</f>
        <v>SUL TEATRO</v>
      </c>
      <c r="E416" t="str">
        <f>IFERROR(__xludf.DUMMYFUNCTION("""COMPUTED_VALUE"""),"MARIA PILATO")</f>
        <v>MARIA PILATO</v>
      </c>
      <c r="F416" t="str">
        <f>IFERROR(__xludf.DUMMYFUNCTION("""COMPUTED_VALUE"""),"VIA LUCANA 23")</f>
        <v>VIA LUCANA 23</v>
      </c>
      <c r="G416" t="str">
        <f>IFERROR(__xludf.DUMMYFUNCTION("""COMPUTED_VALUE"""),"Matera")</f>
        <v>Matera</v>
      </c>
      <c r="H416" t="str">
        <f>IFERROR(__xludf.DUMMYFUNCTION("""COMPUTED_VALUE"""),"Italy")</f>
        <v>Italy</v>
      </c>
      <c r="I416">
        <f>IFERROR(__xludf.DUMMYFUNCTION("""COMPUTED_VALUE"""),2711.0)</f>
        <v>2711</v>
      </c>
      <c r="J416">
        <f>IFERROR(__xludf.DUMMYFUNCTION("""COMPUTED_VALUE"""),13.0)</f>
        <v>13</v>
      </c>
      <c r="K416">
        <f>IFERROR(__xludf.DUMMYFUNCTION("""COMPUTED_VALUE"""),159.0)</f>
        <v>159</v>
      </c>
      <c r="L416" t="str">
        <f>IFERROR(__xludf.DUMMYFUNCTION("""COMPUTED_VALUE"""),"PLTMPS63L64F052K")</f>
        <v>PLTMPS63L64F052K</v>
      </c>
      <c r="M416">
        <f>IFERROR(__xludf.DUMMYFUNCTION("""COMPUTED_VALUE"""),4.0)</f>
        <v>4</v>
      </c>
      <c r="N416">
        <f>IFERROR(__xludf.DUMMYFUNCTION("""COMPUTED_VALUE"""),42433.0)</f>
        <v>42433</v>
      </c>
      <c r="O416" t="str">
        <f>IFERROR(__xludf.DUMMYFUNCTION("""COMPUTED_VALUE"""),"")</f>
        <v/>
      </c>
    </row>
    <row r="417">
      <c r="A417">
        <f>IFERROR(__xludf.DUMMYFUNCTION("""COMPUTED_VALUE"""),40.6710931)</f>
        <v>40.6710931</v>
      </c>
      <c r="B417">
        <f>IFERROR(__xludf.DUMMYFUNCTION("""COMPUTED_VALUE"""),16.6086155)</f>
        <v>16.6086155</v>
      </c>
      <c r="C417" t="str">
        <f>IFERROR(__xludf.DUMMYFUNCTION("""COMPUTED_VALUE"""),"Casa Vacanza")</f>
        <v>Casa Vacanza</v>
      </c>
      <c r="D417" t="str">
        <f>IFERROR(__xludf.DUMMYFUNCTION("""COMPUTED_VALUE"""),"SULLA ROCCIA DEI SASSI")</f>
        <v>SULLA ROCCIA DEI SASSI</v>
      </c>
      <c r="E417" t="str">
        <f>IFERROR(__xludf.DUMMYFUNCTION("""COMPUTED_VALUE"""),"PLASMATI PIETRO")</f>
        <v>PLASMATI PIETRO</v>
      </c>
      <c r="F417" t="str">
        <f>IFERROR(__xludf.DUMMYFUNCTION("""COMPUTED_VALUE"""),"VIA SANTO STEFANO 92")</f>
        <v>VIA SANTO STEFANO 92</v>
      </c>
      <c r="G417" t="str">
        <f>IFERROR(__xludf.DUMMYFUNCTION("""COMPUTED_VALUE"""),"Matera")</f>
        <v>Matera</v>
      </c>
      <c r="H417" t="str">
        <f>IFERROR(__xludf.DUMMYFUNCTION("""COMPUTED_VALUE"""),"Italy")</f>
        <v>Italy</v>
      </c>
      <c r="I417">
        <f>IFERROR(__xludf.DUMMYFUNCTION("""COMPUTED_VALUE"""),156.0)</f>
        <v>156</v>
      </c>
      <c r="J417">
        <f>IFERROR(__xludf.DUMMYFUNCTION("""COMPUTED_VALUE"""),1.0)</f>
        <v>1</v>
      </c>
      <c r="K417">
        <f>IFERROR(__xludf.DUMMYFUNCTION("""COMPUTED_VALUE"""),72.0)</f>
        <v>72</v>
      </c>
      <c r="L417" t="str">
        <f>IFERROR(__xludf.DUMMYFUNCTION("""COMPUTED_VALUE"""),"PLSPTR50E16F052W")</f>
        <v>PLSPTR50E16F052W</v>
      </c>
      <c r="M417">
        <f>IFERROR(__xludf.DUMMYFUNCTION("""COMPUTED_VALUE"""),2.0)</f>
        <v>2</v>
      </c>
      <c r="N417">
        <f>IFERROR(__xludf.DUMMYFUNCTION("""COMPUTED_VALUE"""),43005.0)</f>
        <v>43005</v>
      </c>
      <c r="O417" t="str">
        <f>IFERROR(__xludf.DUMMYFUNCTION("""COMPUTED_VALUE"""),"")</f>
        <v/>
      </c>
    </row>
    <row r="418">
      <c r="A418">
        <f>IFERROR(__xludf.DUMMYFUNCTION("""COMPUTED_VALUE"""),40.660855)</f>
        <v>40.660855</v>
      </c>
      <c r="B418">
        <f>IFERROR(__xludf.DUMMYFUNCTION("""COMPUTED_VALUE"""),16.612134)</f>
        <v>16.612134</v>
      </c>
      <c r="C418" t="str">
        <f>IFERROR(__xludf.DUMMYFUNCTION("""COMPUTED_VALUE"""),"Casa Vacanza")</f>
        <v>Casa Vacanza</v>
      </c>
      <c r="D418" t="str">
        <f>IFERROR(__xludf.DUMMYFUNCTION("""COMPUTED_VALUE"""),"SWEET ROOMS RECINTO ANTICO")</f>
        <v>SWEET ROOMS RECINTO ANTICO</v>
      </c>
      <c r="E418" t="str">
        <f>IFERROR(__xludf.DUMMYFUNCTION("""COMPUTED_VALUE"""),"NUNZIA DI LECCE")</f>
        <v>NUNZIA DI LECCE</v>
      </c>
      <c r="F418" t="str">
        <f>IFERROR(__xludf.DUMMYFUNCTION("""COMPUTED_VALUE"""),"RECINTO QUINTO DI VIA LUCANA 12")</f>
        <v>RECINTO QUINTO DI VIA LUCANA 12</v>
      </c>
      <c r="G418" t="str">
        <f>IFERROR(__xludf.DUMMYFUNCTION("""COMPUTED_VALUE"""),"Matera")</f>
        <v>Matera</v>
      </c>
      <c r="H418" t="str">
        <f>IFERROR(__xludf.DUMMYFUNCTION("""COMPUTED_VALUE"""),"Italy")</f>
        <v>Italy</v>
      </c>
      <c r="I418">
        <f>IFERROR(__xludf.DUMMYFUNCTION("""COMPUTED_VALUE"""),2538.0)</f>
        <v>2538</v>
      </c>
      <c r="J418">
        <f>IFERROR(__xludf.DUMMYFUNCTION("""COMPUTED_VALUE"""),18.0)</f>
        <v>18</v>
      </c>
      <c r="K418">
        <f>IFERROR(__xludf.DUMMYFUNCTION("""COMPUTED_VALUE"""),159.0)</f>
        <v>159</v>
      </c>
      <c r="L418" t="str">
        <f>IFERROR(__xludf.DUMMYFUNCTION("""COMPUTED_VALUE"""),"DLCNNZ82P55F052J")</f>
        <v>DLCNNZ82P55F052J</v>
      </c>
      <c r="M418">
        <f>IFERROR(__xludf.DUMMYFUNCTION("""COMPUTED_VALUE"""),3.0)</f>
        <v>3</v>
      </c>
      <c r="N418">
        <f>IFERROR(__xludf.DUMMYFUNCTION("""COMPUTED_VALUE"""),43073.0)</f>
        <v>43073</v>
      </c>
      <c r="O418" t="str">
        <f>IFERROR(__xludf.DUMMYFUNCTION("""COMPUTED_VALUE"""),"")</f>
        <v/>
      </c>
    </row>
    <row r="419">
      <c r="A419">
        <f>IFERROR(__xludf.DUMMYFUNCTION("""COMPUTED_VALUE"""),40.6678407)</f>
        <v>40.6678407</v>
      </c>
      <c r="B419">
        <f>IFERROR(__xludf.DUMMYFUNCTION("""COMPUTED_VALUE"""),16.6091579)</f>
        <v>16.6091579</v>
      </c>
      <c r="C419" t="str">
        <f>IFERROR(__xludf.DUMMYFUNCTION("""COMPUTED_VALUE"""),"Casa Vacanza")</f>
        <v>Casa Vacanza</v>
      </c>
      <c r="D419" t="str">
        <f>IFERROR(__xludf.DUMMYFUNCTION("""COMPUTED_VALUE"""),"TERRAZZA SAN ROCCO")</f>
        <v>TERRAZZA SAN ROCCO</v>
      </c>
      <c r="E419" t="str">
        <f>IFERROR(__xludf.DUMMYFUNCTION("""COMPUTED_VALUE"""),"DEFINA CELESTE")</f>
        <v>DEFINA CELESTE</v>
      </c>
      <c r="F419" t="str">
        <f>IFERROR(__xludf.DUMMYFUNCTION("""COMPUTED_VALUE"""),"VIA SAN ROCCO 76")</f>
        <v>VIA SAN ROCCO 76</v>
      </c>
      <c r="G419" t="str">
        <f>IFERROR(__xludf.DUMMYFUNCTION("""COMPUTED_VALUE"""),"Matera")</f>
        <v>Matera</v>
      </c>
      <c r="H419" t="str">
        <f>IFERROR(__xludf.DUMMYFUNCTION("""COMPUTED_VALUE"""),"Italy")</f>
        <v>Italy</v>
      </c>
      <c r="I419">
        <f>IFERROR(__xludf.DUMMYFUNCTION("""COMPUTED_VALUE"""),472.0)</f>
        <v>472</v>
      </c>
      <c r="J419">
        <f>IFERROR(__xludf.DUMMYFUNCTION("""COMPUTED_VALUE"""),2.0)</f>
        <v>2</v>
      </c>
      <c r="K419">
        <f>IFERROR(__xludf.DUMMYFUNCTION("""COMPUTED_VALUE"""),159.0)</f>
        <v>159</v>
      </c>
      <c r="L419" t="str">
        <f>IFERROR(__xludf.DUMMYFUNCTION("""COMPUTED_VALUE"""),"DFNCST72I64A662Z")</f>
        <v>DFNCST72I64A662Z</v>
      </c>
      <c r="M419">
        <f>IFERROR(__xludf.DUMMYFUNCTION("""COMPUTED_VALUE"""),2.0)</f>
        <v>2</v>
      </c>
      <c r="N419">
        <f>IFERROR(__xludf.DUMMYFUNCTION("""COMPUTED_VALUE"""),42326.0)</f>
        <v>42326</v>
      </c>
      <c r="O419">
        <f>IFERROR(__xludf.DUMMYFUNCTION("""COMPUTED_VALUE"""),2235.0)</f>
        <v>2235</v>
      </c>
    </row>
    <row r="420">
      <c r="A420">
        <f>IFERROR(__xludf.DUMMYFUNCTION("""COMPUTED_VALUE"""),40.6656789)</f>
        <v>40.6656789</v>
      </c>
      <c r="B420">
        <f>IFERROR(__xludf.DUMMYFUNCTION("""COMPUTED_VALUE"""),16.6126694)</f>
        <v>16.6126694</v>
      </c>
      <c r="C420" t="str">
        <f>IFERROR(__xludf.DUMMYFUNCTION("""COMPUTED_VALUE"""),"Casa Vacanza")</f>
        <v>Casa Vacanza</v>
      </c>
      <c r="D420" t="str">
        <f>IFERROR(__xludf.DUMMYFUNCTION("""COMPUTED_VALUE"""),"TUTTE LE ALBE NEI SASSI")</f>
        <v>TUTTE LE ALBE NEI SASSI</v>
      </c>
      <c r="E420" t="str">
        <f>IFERROR(__xludf.DUMMYFUNCTION("""COMPUTED_VALUE"""),"GIOVANNA ARMANDO")</f>
        <v>GIOVANNA ARMANDO</v>
      </c>
      <c r="F420" t="str">
        <f>IFERROR(__xludf.DUMMYFUNCTION("""COMPUTED_VALUE"""),"VIA SANT'ANGELO 47/48")</f>
        <v>VIA SANT'ANGELO 47/48</v>
      </c>
      <c r="G420" t="str">
        <f>IFERROR(__xludf.DUMMYFUNCTION("""COMPUTED_VALUE"""),"Matera")</f>
        <v>Matera</v>
      </c>
      <c r="H420" t="str">
        <f>IFERROR(__xludf.DUMMYFUNCTION("""COMPUTED_VALUE"""),"Italy")</f>
        <v>Italy</v>
      </c>
      <c r="I420">
        <f>IFERROR(__xludf.DUMMYFUNCTION("""COMPUTED_VALUE"""),1630.0)</f>
        <v>1630</v>
      </c>
      <c r="J420">
        <f>IFERROR(__xludf.DUMMYFUNCTION("""COMPUTED_VALUE"""),4.0)</f>
        <v>4</v>
      </c>
      <c r="K420">
        <f>IFERROR(__xludf.DUMMYFUNCTION("""COMPUTED_VALUE"""),159.0)</f>
        <v>159</v>
      </c>
      <c r="L420" t="str">
        <f>IFERROR(__xludf.DUMMYFUNCTION("""COMPUTED_VALUE"""),"RMNGNN43S55D547C")</f>
        <v>RMNGNN43S55D547C</v>
      </c>
      <c r="M420">
        <f>IFERROR(__xludf.DUMMYFUNCTION("""COMPUTED_VALUE"""),3.0)</f>
        <v>3</v>
      </c>
      <c r="N420">
        <f>IFERROR(__xludf.DUMMYFUNCTION("""COMPUTED_VALUE"""),42107.0)</f>
        <v>42107</v>
      </c>
      <c r="O420">
        <f>IFERROR(__xludf.DUMMYFUNCTION("""COMPUTED_VALUE"""),1813.0)</f>
        <v>1813</v>
      </c>
    </row>
    <row r="421">
      <c r="A421">
        <f>IFERROR(__xludf.DUMMYFUNCTION("""COMPUTED_VALUE"""),40.6700202417528)</f>
        <v>40.67002024</v>
      </c>
      <c r="B421">
        <f>IFERROR(__xludf.DUMMYFUNCTION("""COMPUTED_VALUE"""),16.6088426844563)</f>
        <v>16.60884268</v>
      </c>
      <c r="C421" t="str">
        <f>IFERROR(__xludf.DUMMYFUNCTION("""COMPUTED_VALUE"""),"Casa Vacanza")</f>
        <v>Casa Vacanza</v>
      </c>
      <c r="D421" t="str">
        <f>IFERROR(__xludf.DUMMYFUNCTION("""COMPUTED_VALUE"""),"UN RUBINO FRA I SASSI")</f>
        <v>UN RUBINO FRA I SASSI</v>
      </c>
      <c r="E421" t="str">
        <f>IFERROR(__xludf.DUMMYFUNCTION("""COMPUTED_VALUE"""),"TROMBETTA LUCIANO")</f>
        <v>TROMBETTA LUCIANO</v>
      </c>
      <c r="F421" t="str">
        <f>IFERROR(__xludf.DUMMYFUNCTION("""COMPUTED_VALUE"""),"VIA SANTA CESARE 73")</f>
        <v>VIA SANTA CESARE 73</v>
      </c>
      <c r="G421" t="str">
        <f>IFERROR(__xludf.DUMMYFUNCTION("""COMPUTED_VALUE"""),"Matera")</f>
        <v>Matera</v>
      </c>
      <c r="H421" t="str">
        <f>IFERROR(__xludf.DUMMYFUNCTION("""COMPUTED_VALUE"""),"italy")</f>
        <v>italy</v>
      </c>
      <c r="I421">
        <f>IFERROR(__xludf.DUMMYFUNCTION("""COMPUTED_VALUE"""),3580.0)</f>
        <v>3580</v>
      </c>
      <c r="J421">
        <f>IFERROR(__xludf.DUMMYFUNCTION("""COMPUTED_VALUE"""),20.0)</f>
        <v>20</v>
      </c>
      <c r="K421">
        <f>IFERROR(__xludf.DUMMYFUNCTION("""COMPUTED_VALUE"""),159.0)</f>
        <v>159</v>
      </c>
      <c r="L421" t="str">
        <f>IFERROR(__xludf.DUMMYFUNCTION("""COMPUTED_VALUE"""),"TRMLCN50M20F052Y")</f>
        <v>TRMLCN50M20F052Y</v>
      </c>
      <c r="M421">
        <f>IFERROR(__xludf.DUMMYFUNCTION("""COMPUTED_VALUE"""),4.0)</f>
        <v>4</v>
      </c>
      <c r="N421">
        <f>IFERROR(__xludf.DUMMYFUNCTION("""COMPUTED_VALUE"""),43557.0)</f>
        <v>43557</v>
      </c>
      <c r="O421">
        <f>IFERROR(__xludf.DUMMYFUNCTION("""COMPUTED_VALUE"""),916.0)</f>
        <v>916</v>
      </c>
    </row>
    <row r="422">
      <c r="A422">
        <f>IFERROR(__xludf.DUMMYFUNCTION("""COMPUTED_VALUE"""),40.6670639)</f>
        <v>40.6670639</v>
      </c>
      <c r="B422">
        <f>IFERROR(__xludf.DUMMYFUNCTION("""COMPUTED_VALUE"""),16.6051056)</f>
        <v>16.6051056</v>
      </c>
      <c r="C422" t="str">
        <f>IFERROR(__xludf.DUMMYFUNCTION("""COMPUTED_VALUE"""),"Casa Vacanza")</f>
        <v>Casa Vacanza</v>
      </c>
      <c r="D422" t="str">
        <f>IFERROR(__xludf.DUMMYFUNCTION("""COMPUTED_VALUE"""),"UN TUFFO NEL BLU'")</f>
        <v>UN TUFFO NEL BLU'</v>
      </c>
      <c r="E422" t="str">
        <f>IFERROR(__xludf.DUMMYFUNCTION("""COMPUTED_VALUE"""),"PERNIOLA GIUSEPPE")</f>
        <v>PERNIOLA GIUSEPPE</v>
      </c>
      <c r="F422" t="str">
        <f>IFERROR(__xludf.DUMMYFUNCTION("""COMPUTED_VALUE"""),"VIA INGHILTERRA  5 1°PIANO")</f>
        <v>VIA INGHILTERRA  5 1°PIANO</v>
      </c>
      <c r="G422" t="str">
        <f>IFERROR(__xludf.DUMMYFUNCTION("""COMPUTED_VALUE"""),"Matera")</f>
        <v>Matera</v>
      </c>
      <c r="H422" t="str">
        <f>IFERROR(__xludf.DUMMYFUNCTION("""COMPUTED_VALUE"""),"Italy")</f>
        <v>Italy</v>
      </c>
      <c r="I422">
        <f>IFERROR(__xludf.DUMMYFUNCTION("""COMPUTED_VALUE"""),176.0)</f>
        <v>176</v>
      </c>
      <c r="J422">
        <f>IFERROR(__xludf.DUMMYFUNCTION("""COMPUTED_VALUE"""),2.0)</f>
        <v>2</v>
      </c>
      <c r="K422">
        <f>IFERROR(__xludf.DUMMYFUNCTION("""COMPUTED_VALUE"""),14.0)</f>
        <v>14</v>
      </c>
      <c r="L422" t="str">
        <f>IFERROR(__xludf.DUMMYFUNCTION("""COMPUTED_VALUE"""),"PRNGPP68H27F052J")</f>
        <v>PRNGPP68H27F052J</v>
      </c>
      <c r="M422">
        <f>IFERROR(__xludf.DUMMYFUNCTION("""COMPUTED_VALUE"""),5.0)</f>
        <v>5</v>
      </c>
      <c r="N422">
        <f>IFERROR(__xludf.DUMMYFUNCTION("""COMPUTED_VALUE"""),42727.0)</f>
        <v>42727</v>
      </c>
      <c r="O422" t="str">
        <f>IFERROR(__xludf.DUMMYFUNCTION("""COMPUTED_VALUE"""),"")</f>
        <v/>
      </c>
    </row>
    <row r="423">
      <c r="A423">
        <f>IFERROR(__xludf.DUMMYFUNCTION("""COMPUTED_VALUE"""),40.6779995360938)</f>
        <v>40.67799954</v>
      </c>
      <c r="B423">
        <f>IFERROR(__xludf.DUMMYFUNCTION("""COMPUTED_VALUE"""),16.5826186853994)</f>
        <v>16.58261869</v>
      </c>
      <c r="C423" t="str">
        <f>IFERROR(__xludf.DUMMYFUNCTION("""COMPUTED_VALUE"""),"Casa Vacanza")</f>
        <v>Casa Vacanza</v>
      </c>
      <c r="D423" t="str">
        <f>IFERROR(__xludf.DUMMYFUNCTION("""COMPUTED_VALUE"""),"VACANZE LUCANE")</f>
        <v>VACANZE LUCANE</v>
      </c>
      <c r="E423" t="str">
        <f>IFERROR(__xludf.DUMMYFUNCTION("""COMPUTED_VALUE"""),"ANTONIA LOPERGOLO")</f>
        <v>ANTONIA LOPERGOLO</v>
      </c>
      <c r="F423" t="str">
        <f>IFERROR(__xludf.DUMMYFUNCTION("""COMPUTED_VALUE"""),"VIA FOGGIA 34")</f>
        <v>VIA FOGGIA 34</v>
      </c>
      <c r="G423" t="str">
        <f>IFERROR(__xludf.DUMMYFUNCTION("""COMPUTED_VALUE"""),"Matera")</f>
        <v>Matera</v>
      </c>
      <c r="H423" t="str">
        <f>IFERROR(__xludf.DUMMYFUNCTION("""COMPUTED_VALUE"""),"Italy")</f>
        <v>Italy</v>
      </c>
      <c r="I423">
        <f>IFERROR(__xludf.DUMMYFUNCTION("""COMPUTED_VALUE"""),1037.0)</f>
        <v>1037</v>
      </c>
      <c r="J423">
        <f>IFERROR(__xludf.DUMMYFUNCTION("""COMPUTED_VALUE"""),36.0)</f>
        <v>36</v>
      </c>
      <c r="K423">
        <f>IFERROR(__xludf.DUMMYFUNCTION("""COMPUTED_VALUE"""),68.0)</f>
        <v>68</v>
      </c>
      <c r="L423" t="str">
        <f>IFERROR(__xludf.DUMMYFUNCTION("""COMPUTED_VALUE"""),"LPRNTN66C48E213D")</f>
        <v>LPRNTN66C48E213D</v>
      </c>
      <c r="M423">
        <f>IFERROR(__xludf.DUMMYFUNCTION("""COMPUTED_VALUE"""),3.0)</f>
        <v>3</v>
      </c>
      <c r="N423">
        <f>IFERROR(__xludf.DUMMYFUNCTION("""COMPUTED_VALUE"""),42353.0)</f>
        <v>42353</v>
      </c>
      <c r="O423" t="str">
        <f>IFERROR(__xludf.DUMMYFUNCTION("""COMPUTED_VALUE"""),"")</f>
        <v/>
      </c>
    </row>
    <row r="424">
      <c r="A424">
        <f>IFERROR(__xludf.DUMMYFUNCTION("""COMPUTED_VALUE"""),40.6656279001392)</f>
        <v>40.6656279</v>
      </c>
      <c r="B424">
        <f>IFERROR(__xludf.DUMMYFUNCTION("""COMPUTED_VALUE"""),16.6051909204254)</f>
        <v>16.60519092</v>
      </c>
      <c r="C424" t="str">
        <f>IFERROR(__xludf.DUMMYFUNCTION("""COMPUTED_VALUE"""),"Casa Vacanza")</f>
        <v>Casa Vacanza</v>
      </c>
      <c r="D424" t="str">
        <f>IFERROR(__xludf.DUMMYFUNCTION("""COMPUTED_VALUE"""),"VAN GOGH")</f>
        <v>VAN GOGH</v>
      </c>
      <c r="E424" t="str">
        <f>IFERROR(__xludf.DUMMYFUNCTION("""COMPUTED_VALUE"""),"OLIVIERI EMILIA")</f>
        <v>OLIVIERI EMILIA</v>
      </c>
      <c r="F424" t="str">
        <f>IFERROR(__xludf.DUMMYFUNCTION("""COMPUTED_VALUE"""),"VIA PASSARELLI 9")</f>
        <v>VIA PASSARELLI 9</v>
      </c>
      <c r="G424" t="str">
        <f>IFERROR(__xludf.DUMMYFUNCTION("""COMPUTED_VALUE"""),"Matera")</f>
        <v>Matera</v>
      </c>
      <c r="H424" t="str">
        <f>IFERROR(__xludf.DUMMYFUNCTION("""COMPUTED_VALUE"""),"Italy")</f>
        <v>Italy</v>
      </c>
      <c r="I424">
        <f>IFERROR(__xludf.DUMMYFUNCTION("""COMPUTED_VALUE"""),189.0)</f>
        <v>189</v>
      </c>
      <c r="J424">
        <f>IFERROR(__xludf.DUMMYFUNCTION("""COMPUTED_VALUE"""),44.0)</f>
        <v>44</v>
      </c>
      <c r="K424">
        <f>IFERROR(__xludf.DUMMYFUNCTION("""COMPUTED_VALUE"""),103.0)</f>
        <v>103</v>
      </c>
      <c r="L424" t="str">
        <f>IFERROR(__xludf.DUMMYFUNCTION("""COMPUTED_VALUE"""),"LVRMLE65B61F052R")</f>
        <v>LVRMLE65B61F052R</v>
      </c>
      <c r="M424">
        <f>IFERROR(__xludf.DUMMYFUNCTION("""COMPUTED_VALUE"""),4.0)</f>
        <v>4</v>
      </c>
      <c r="N424">
        <f>IFERROR(__xludf.DUMMYFUNCTION("""COMPUTED_VALUE"""),43213.0)</f>
        <v>43213</v>
      </c>
      <c r="O424" t="str">
        <f>IFERROR(__xludf.DUMMYFUNCTION("""COMPUTED_VALUE"""),"")</f>
        <v/>
      </c>
    </row>
    <row r="425">
      <c r="A425">
        <f>IFERROR(__xludf.DUMMYFUNCTION("""COMPUTED_VALUE"""),40.6601464)</f>
        <v>40.6601464</v>
      </c>
      <c r="B425">
        <f>IFERROR(__xludf.DUMMYFUNCTION("""COMPUTED_VALUE"""),16.6107644)</f>
        <v>16.6107644</v>
      </c>
      <c r="C425" t="str">
        <f>IFERROR(__xludf.DUMMYFUNCTION("""COMPUTED_VALUE"""),"Casa Vacanza")</f>
        <v>Casa Vacanza</v>
      </c>
      <c r="D425" t="str">
        <f>IFERROR(__xludf.DUMMYFUNCTION("""COMPUTED_VALUE"""),"VEDUTA SUI SASSI")</f>
        <v>VEDUTA SUI SASSI</v>
      </c>
      <c r="E425" t="str">
        <f>IFERROR(__xludf.DUMMYFUNCTION("""COMPUTED_VALUE"""),"SCALCIONE MARINO")</f>
        <v>SCALCIONE MARINO</v>
      </c>
      <c r="F425" t="str">
        <f>IFERROR(__xludf.DUMMYFUNCTION("""COMPUTED_VALUE"""),"VIA GIUSTINO FORTUNATO 6")</f>
        <v>VIA GIUSTINO FORTUNATO 6</v>
      </c>
      <c r="G425" t="str">
        <f>IFERROR(__xludf.DUMMYFUNCTION("""COMPUTED_VALUE"""),"Matera")</f>
        <v>Matera</v>
      </c>
      <c r="H425" t="str">
        <f>IFERROR(__xludf.DUMMYFUNCTION("""COMPUTED_VALUE"""),"Italy")</f>
        <v>Italy</v>
      </c>
      <c r="I425">
        <f>IFERROR(__xludf.DUMMYFUNCTION("""COMPUTED_VALUE"""),239.0)</f>
        <v>239</v>
      </c>
      <c r="J425">
        <f>IFERROR(__xludf.DUMMYFUNCTION("""COMPUTED_VALUE"""),6.0)</f>
        <v>6</v>
      </c>
      <c r="K425">
        <f>IFERROR(__xludf.DUMMYFUNCTION("""COMPUTED_VALUE"""),103.0)</f>
        <v>103</v>
      </c>
      <c r="L425" t="str">
        <f>IFERROR(__xludf.DUMMYFUNCTION("""COMPUTED_VALUE"""),"SCLMRN86S15F052O")</f>
        <v>SCLMRN86S15F052O</v>
      </c>
      <c r="M425">
        <f>IFERROR(__xludf.DUMMYFUNCTION("""COMPUTED_VALUE"""),4.0)</f>
        <v>4</v>
      </c>
      <c r="N425">
        <f>IFERROR(__xludf.DUMMYFUNCTION("""COMPUTED_VALUE"""),42643.0)</f>
        <v>42643</v>
      </c>
      <c r="O425" t="str">
        <f>IFERROR(__xludf.DUMMYFUNCTION("""COMPUTED_VALUE"""),"")</f>
        <v/>
      </c>
    </row>
    <row r="426">
      <c r="A426">
        <f>IFERROR(__xludf.DUMMYFUNCTION("""COMPUTED_VALUE"""),40.6701180324768)</f>
        <v>40.67011803</v>
      </c>
      <c r="B426">
        <f>IFERROR(__xludf.DUMMYFUNCTION("""COMPUTED_VALUE"""),16.6067344995367)</f>
        <v>16.6067345</v>
      </c>
      <c r="C426" t="str">
        <f>IFERROR(__xludf.DUMMYFUNCTION("""COMPUTED_VALUE"""),"Casa Vacanza")</f>
        <v>Casa Vacanza</v>
      </c>
      <c r="D426" t="str">
        <f>IFERROR(__xludf.DUMMYFUNCTION("""COMPUTED_VALUE"""),"VILLA 78")</f>
        <v>VILLA 78</v>
      </c>
      <c r="E426" t="str">
        <f>IFERROR(__xludf.DUMMYFUNCTION("""COMPUTED_VALUE"""),"MICHELE  TOSTO")</f>
        <v>MICHELE  TOSTO</v>
      </c>
      <c r="F426" t="str">
        <f>IFERROR(__xludf.DUMMYFUNCTION("""COMPUTED_VALUE"""),"VIA TOMMASO STIGLIANI 78")</f>
        <v>VIA TOMMASO STIGLIANI 78</v>
      </c>
      <c r="G426" t="str">
        <f>IFERROR(__xludf.DUMMYFUNCTION("""COMPUTED_VALUE"""),"Matera")</f>
        <v>Matera</v>
      </c>
      <c r="H426" t="str">
        <f>IFERROR(__xludf.DUMMYFUNCTION("""COMPUTED_VALUE"""),"Italy")</f>
        <v>Italy</v>
      </c>
      <c r="I426">
        <f>IFERROR(__xludf.DUMMYFUNCTION("""COMPUTED_VALUE"""),3464.0)</f>
        <v>3464</v>
      </c>
      <c r="J426">
        <f>IFERROR(__xludf.DUMMYFUNCTION("""COMPUTED_VALUE"""),18.0)</f>
        <v>18</v>
      </c>
      <c r="K426">
        <f>IFERROR(__xludf.DUMMYFUNCTION("""COMPUTED_VALUE"""),159.0)</f>
        <v>159</v>
      </c>
      <c r="L426" t="str">
        <f>IFERROR(__xludf.DUMMYFUNCTION("""COMPUTED_VALUE"""),"TSTMHL56H21F052K")</f>
        <v>TSTMHL56H21F052K</v>
      </c>
      <c r="M426">
        <f>IFERROR(__xludf.DUMMYFUNCTION("""COMPUTED_VALUE"""),3.0)</f>
        <v>3</v>
      </c>
      <c r="N426">
        <f>IFERROR(__xludf.DUMMYFUNCTION("""COMPUTED_VALUE"""),43250.0)</f>
        <v>43250</v>
      </c>
      <c r="O426" t="str">
        <f>IFERROR(__xludf.DUMMYFUNCTION("""COMPUTED_VALUE"""),"")</f>
        <v/>
      </c>
    </row>
    <row r="427">
      <c r="A427">
        <f>IFERROR(__xludf.DUMMYFUNCTION("""COMPUTED_VALUE"""),40.6637193651106)</f>
        <v>40.66371937</v>
      </c>
      <c r="B427">
        <f>IFERROR(__xludf.DUMMYFUNCTION("""COMPUTED_VALUE"""),16.5768337125937)</f>
        <v>16.57683371</v>
      </c>
      <c r="C427" t="str">
        <f>IFERROR(__xludf.DUMMYFUNCTION("""COMPUTED_VALUE"""),"Casa Vacanza")</f>
        <v>Casa Vacanza</v>
      </c>
      <c r="D427" t="str">
        <f>IFERROR(__xludf.DUMMYFUNCTION("""COMPUTED_VALUE"""),"VILLA DEL SOLE MATERA")</f>
        <v>VILLA DEL SOLE MATERA</v>
      </c>
      <c r="E427" t="str">
        <f>IFERROR(__xludf.DUMMYFUNCTION("""COMPUTED_VALUE"""),"PERSIA GRAZIA")</f>
        <v>PERSIA GRAZIA</v>
      </c>
      <c r="F427" t="str">
        <f>IFERROR(__xludf.DUMMYFUNCTION("""COMPUTED_VALUE"""),"CONTRADA PAPALIONE")</f>
        <v>CONTRADA PAPALIONE</v>
      </c>
      <c r="G427" t="str">
        <f>IFERROR(__xludf.DUMMYFUNCTION("""COMPUTED_VALUE"""),"Matera")</f>
        <v>Matera</v>
      </c>
      <c r="H427" t="str">
        <f>IFERROR(__xludf.DUMMYFUNCTION("""COMPUTED_VALUE"""),"Italy")</f>
        <v>Italy</v>
      </c>
      <c r="I427">
        <f>IFERROR(__xludf.DUMMYFUNCTION("""COMPUTED_VALUE"""),564.0)</f>
        <v>564</v>
      </c>
      <c r="J427">
        <f>IFERROR(__xludf.DUMMYFUNCTION("""COMPUTED_VALUE"""),17.0)</f>
        <v>17</v>
      </c>
      <c r="K427">
        <f>IFERROR(__xludf.DUMMYFUNCTION("""COMPUTED_VALUE"""),97.0)</f>
        <v>97</v>
      </c>
      <c r="L427" t="str">
        <f>IFERROR(__xludf.DUMMYFUNCTION("""COMPUTED_VALUE"""),"PRSGRZ72T52F052A")</f>
        <v>PRSGRZ72T52F052A</v>
      </c>
      <c r="M427">
        <f>IFERROR(__xludf.DUMMYFUNCTION("""COMPUTED_VALUE"""),3.0)</f>
        <v>3</v>
      </c>
      <c r="N427">
        <f>IFERROR(__xludf.DUMMYFUNCTION("""COMPUTED_VALUE"""),42472.0)</f>
        <v>42472</v>
      </c>
      <c r="O427" t="str">
        <f>IFERROR(__xludf.DUMMYFUNCTION("""COMPUTED_VALUE"""),"")</f>
        <v/>
      </c>
    </row>
    <row r="428">
      <c r="A428">
        <f>IFERROR(__xludf.DUMMYFUNCTION("""COMPUTED_VALUE"""),40.6707580612949)</f>
        <v>40.67075806</v>
      </c>
      <c r="B428">
        <f>IFERROR(__xludf.DUMMYFUNCTION("""COMPUTED_VALUE"""),16.6026212708241)</f>
        <v>16.60262127</v>
      </c>
      <c r="C428" t="str">
        <f>IFERROR(__xludf.DUMMYFUNCTION("""COMPUTED_VALUE"""),"Casa Vacanza")</f>
        <v>Casa Vacanza</v>
      </c>
      <c r="D428" t="str">
        <f>IFERROR(__xludf.DUMMYFUNCTION("""COMPUTED_VALUE"""),"VILLA ELETTI")</f>
        <v>VILLA ELETTI</v>
      </c>
      <c r="E428" t="str">
        <f>IFERROR(__xludf.DUMMYFUNCTION("""COMPUTED_VALUE"""),"GIUSEPPE ELETTI")</f>
        <v>GIUSEPPE ELETTI</v>
      </c>
      <c r="F428" t="str">
        <f>IFERROR(__xludf.DUMMYFUNCTION("""COMPUTED_VALUE"""),"VIA LUPO PROTOSPATA 78")</f>
        <v>VIA LUPO PROTOSPATA 78</v>
      </c>
      <c r="G428" t="str">
        <f>IFERROR(__xludf.DUMMYFUNCTION("""COMPUTED_VALUE"""),"Matera")</f>
        <v>Matera</v>
      </c>
      <c r="H428" t="str">
        <f>IFERROR(__xludf.DUMMYFUNCTION("""COMPUTED_VALUE"""),"Italy")</f>
        <v>Italy</v>
      </c>
      <c r="I428">
        <f>IFERROR(__xludf.DUMMYFUNCTION("""COMPUTED_VALUE"""),2322.0)</f>
        <v>2322</v>
      </c>
      <c r="J428">
        <f>IFERROR(__xludf.DUMMYFUNCTION("""COMPUTED_VALUE"""),3.0)</f>
        <v>3</v>
      </c>
      <c r="K428">
        <f>IFERROR(__xludf.DUMMYFUNCTION("""COMPUTED_VALUE"""),71.0)</f>
        <v>71</v>
      </c>
      <c r="L428" t="str">
        <f>IFERROR(__xludf.DUMMYFUNCTION("""COMPUTED_VALUE"""),"LTTGPP55M02F052O")</f>
        <v>LTTGPP55M02F052O</v>
      </c>
      <c r="M428">
        <f>IFERROR(__xludf.DUMMYFUNCTION("""COMPUTED_VALUE"""),2.0)</f>
        <v>2</v>
      </c>
      <c r="N428">
        <f>IFERROR(__xludf.DUMMYFUNCTION("""COMPUTED_VALUE"""),42977.0)</f>
        <v>42977</v>
      </c>
      <c r="O428" t="str">
        <f>IFERROR(__xludf.DUMMYFUNCTION("""COMPUTED_VALUE"""),"")</f>
        <v/>
      </c>
    </row>
    <row r="429">
      <c r="A429">
        <f>IFERROR(__xludf.DUMMYFUNCTION("""COMPUTED_VALUE"""),40.6707580612949)</f>
        <v>40.67075806</v>
      </c>
      <c r="B429">
        <f>IFERROR(__xludf.DUMMYFUNCTION("""COMPUTED_VALUE"""),16.6026212708241)</f>
        <v>16.60262127</v>
      </c>
      <c r="C429" t="str">
        <f>IFERROR(__xludf.DUMMYFUNCTION("""COMPUTED_VALUE"""),"Casa Vacanza")</f>
        <v>Casa Vacanza</v>
      </c>
      <c r="D429" t="str">
        <f>IFERROR(__xludf.DUMMYFUNCTION("""COMPUTED_VALUE"""),"VILLA ELETTI DA'")</f>
        <v>VILLA ELETTI DA'</v>
      </c>
      <c r="E429" t="str">
        <f>IFERROR(__xludf.DUMMYFUNCTION("""COMPUTED_VALUE"""),"GIUSEPPE ELETTI")</f>
        <v>GIUSEPPE ELETTI</v>
      </c>
      <c r="F429" t="str">
        <f>IFERROR(__xludf.DUMMYFUNCTION("""COMPUTED_VALUE"""),"VIA LUPO PROTOSPATA 78")</f>
        <v>VIA LUPO PROTOSPATA 78</v>
      </c>
      <c r="G429" t="str">
        <f>IFERROR(__xludf.DUMMYFUNCTION("""COMPUTED_VALUE"""),"Matera")</f>
        <v>Matera</v>
      </c>
      <c r="H429" t="str">
        <f>IFERROR(__xludf.DUMMYFUNCTION("""COMPUTED_VALUE"""),"Italy")</f>
        <v>Italy</v>
      </c>
      <c r="I429">
        <f>IFERROR(__xludf.DUMMYFUNCTION("""COMPUTED_VALUE"""),2322.0)</f>
        <v>2322</v>
      </c>
      <c r="J429">
        <f>IFERROR(__xludf.DUMMYFUNCTION("""COMPUTED_VALUE"""),14.0)</f>
        <v>14</v>
      </c>
      <c r="K429">
        <f>IFERROR(__xludf.DUMMYFUNCTION("""COMPUTED_VALUE"""),71.0)</f>
        <v>71</v>
      </c>
      <c r="L429" t="str">
        <f>IFERROR(__xludf.DUMMYFUNCTION("""COMPUTED_VALUE"""),"LTTGPP55M02F052O")</f>
        <v>LTTGPP55M02F052O</v>
      </c>
      <c r="M429">
        <f>IFERROR(__xludf.DUMMYFUNCTION("""COMPUTED_VALUE"""),3.0)</f>
        <v>3</v>
      </c>
      <c r="N429">
        <f>IFERROR(__xludf.DUMMYFUNCTION("""COMPUTED_VALUE"""),43151.0)</f>
        <v>43151</v>
      </c>
      <c r="O429" t="str">
        <f>IFERROR(__xludf.DUMMYFUNCTION("""COMPUTED_VALUE"""),"")</f>
        <v/>
      </c>
    </row>
    <row r="430">
      <c r="A430">
        <f>IFERROR(__xludf.DUMMYFUNCTION("""COMPUTED_VALUE"""),40.6565021143619)</f>
        <v>40.65650211</v>
      </c>
      <c r="B430">
        <f>IFERROR(__xludf.DUMMYFUNCTION("""COMPUTED_VALUE"""),16.5480257838199)</f>
        <v>16.54802578</v>
      </c>
      <c r="C430" t="str">
        <f>IFERROR(__xludf.DUMMYFUNCTION("""COMPUTED_VALUE"""),"Casa Vacanza")</f>
        <v>Casa Vacanza</v>
      </c>
      <c r="D430" t="str">
        <f>IFERROR(__xludf.DUMMYFUNCTION("""COMPUTED_VALUE"""),"VILLA GREENJEY")</f>
        <v>VILLA GREENJEY</v>
      </c>
      <c r="E430" t="str">
        <f>IFERROR(__xludf.DUMMYFUNCTION("""COMPUTED_VALUE"""),"BRAIA BRUNA")</f>
        <v>BRAIA BRUNA</v>
      </c>
      <c r="F430" t="str">
        <f>IFERROR(__xludf.DUMMYFUNCTION("""COMPUTED_VALUE"""),"C.DA GUIRRO")</f>
        <v>C.DA GUIRRO</v>
      </c>
      <c r="G430" t="str">
        <f>IFERROR(__xludf.DUMMYFUNCTION("""COMPUTED_VALUE"""),"Matera")</f>
        <v>Matera</v>
      </c>
      <c r="H430" t="str">
        <f>IFERROR(__xludf.DUMMYFUNCTION("""COMPUTED_VALUE"""),"Italy")</f>
        <v>Italy</v>
      </c>
      <c r="I430">
        <f>IFERROR(__xludf.DUMMYFUNCTION("""COMPUTED_VALUE"""),515.0)</f>
        <v>515</v>
      </c>
      <c r="J430">
        <f>IFERROR(__xludf.DUMMYFUNCTION("""COMPUTED_VALUE"""),10.0)</f>
        <v>10</v>
      </c>
      <c r="K430">
        <f>IFERROR(__xludf.DUMMYFUNCTION("""COMPUTED_VALUE"""),93.0)</f>
        <v>93</v>
      </c>
      <c r="L430" t="str">
        <f>IFERROR(__xludf.DUMMYFUNCTION("""COMPUTED_VALUE"""),"BRABRN56H70F052W")</f>
        <v>BRABRN56H70F052W</v>
      </c>
      <c r="M430">
        <f>IFERROR(__xludf.DUMMYFUNCTION("""COMPUTED_VALUE"""),4.0)</f>
        <v>4</v>
      </c>
      <c r="N430">
        <f>IFERROR(__xludf.DUMMYFUNCTION("""COMPUTED_VALUE"""),42562.0)</f>
        <v>42562</v>
      </c>
      <c r="O430">
        <f>IFERROR(__xludf.DUMMYFUNCTION("""COMPUTED_VALUE"""),1912.0)</f>
        <v>1912</v>
      </c>
    </row>
    <row r="431">
      <c r="A431">
        <f>IFERROR(__xludf.DUMMYFUNCTION("""COMPUTED_VALUE"""),40.6776295371729)</f>
        <v>40.67762954</v>
      </c>
      <c r="B431">
        <f>IFERROR(__xludf.DUMMYFUNCTION("""COMPUTED_VALUE"""),16.5868954088753)</f>
        <v>16.58689541</v>
      </c>
      <c r="C431" t="str">
        <f>IFERROR(__xludf.DUMMYFUNCTION("""COMPUTED_VALUE"""),"Casa Vacanza")</f>
        <v>Casa Vacanza</v>
      </c>
      <c r="D431" t="str">
        <f>IFERROR(__xludf.DUMMYFUNCTION("""COMPUTED_VALUE"""),"VILLA LONGO")</f>
        <v>VILLA LONGO</v>
      </c>
      <c r="E431" t="str">
        <f>IFERROR(__xludf.DUMMYFUNCTION("""COMPUTED_VALUE"""),"ANDREA SANTERAMO")</f>
        <v>ANDREA SANTERAMO</v>
      </c>
      <c r="F431" t="str">
        <f>IFERROR(__xludf.DUMMYFUNCTION("""COMPUTED_VALUE"""),"VIA DANTE ALIGHIERI 93 A")</f>
        <v>VIA DANTE ALIGHIERI 93 A</v>
      </c>
      <c r="G431" t="str">
        <f>IFERROR(__xludf.DUMMYFUNCTION("""COMPUTED_VALUE"""),"Matera")</f>
        <v>Matera</v>
      </c>
      <c r="H431" t="str">
        <f>IFERROR(__xludf.DUMMYFUNCTION("""COMPUTED_VALUE"""),"Italy")</f>
        <v>Italy</v>
      </c>
      <c r="I431">
        <f>IFERROR(__xludf.DUMMYFUNCTION("""COMPUTED_VALUE"""),307.0)</f>
        <v>307</v>
      </c>
      <c r="J431">
        <f>IFERROR(__xludf.DUMMYFUNCTION("""COMPUTED_VALUE"""),12.0)</f>
        <v>12</v>
      </c>
      <c r="K431">
        <f>IFERROR(__xludf.DUMMYFUNCTION("""COMPUTED_VALUE"""),68.0)</f>
        <v>68</v>
      </c>
      <c r="L431" t="str">
        <f>IFERROR(__xludf.DUMMYFUNCTION("""COMPUTED_VALUE"""),"SNTNDR81P09F052G")</f>
        <v>SNTNDR81P09F052G</v>
      </c>
      <c r="M431">
        <f>IFERROR(__xludf.DUMMYFUNCTION("""COMPUTED_VALUE"""),5.0)</f>
        <v>5</v>
      </c>
      <c r="N431">
        <f>IFERROR(__xludf.DUMMYFUNCTION("""COMPUTED_VALUE"""),43230.0)</f>
        <v>43230</v>
      </c>
      <c r="O431" t="str">
        <f>IFERROR(__xludf.DUMMYFUNCTION("""COMPUTED_VALUE"""),"")</f>
        <v/>
      </c>
    </row>
    <row r="432">
      <c r="A432">
        <f>IFERROR(__xludf.DUMMYFUNCTION("""COMPUTED_VALUE"""),40.659984)</f>
        <v>40.659984</v>
      </c>
      <c r="B432">
        <f>IFERROR(__xludf.DUMMYFUNCTION("""COMPUTED_VALUE"""),16.593733)</f>
        <v>16.593733</v>
      </c>
      <c r="C432" t="str">
        <f>IFERROR(__xludf.DUMMYFUNCTION("""COMPUTED_VALUE"""),"Casa Vacanza")</f>
        <v>Casa Vacanza</v>
      </c>
      <c r="D432" t="str">
        <f>IFERROR(__xludf.DUMMYFUNCTION("""COMPUTED_VALUE"""),"VILLA PINA")</f>
        <v>VILLA PINA</v>
      </c>
      <c r="E432" t="str">
        <f>IFERROR(__xludf.DUMMYFUNCTION("""COMPUTED_VALUE"""),"GIUSEPPINA ALBA")</f>
        <v>GIUSEPPINA ALBA</v>
      </c>
      <c r="F432" t="str">
        <f>IFERROR(__xludf.DUMMYFUNCTION("""COMPUTED_VALUE"""),"VIA POZZO MISSEO")</f>
        <v>VIA POZZO MISSEO</v>
      </c>
      <c r="G432" t="str">
        <f>IFERROR(__xludf.DUMMYFUNCTION("""COMPUTED_VALUE"""),"Matera")</f>
        <v>Matera</v>
      </c>
      <c r="H432" t="str">
        <f>IFERROR(__xludf.DUMMYFUNCTION("""COMPUTED_VALUE"""),"Italy")</f>
        <v>Italy</v>
      </c>
      <c r="I432">
        <f>IFERROR(__xludf.DUMMYFUNCTION("""COMPUTED_VALUE"""),536.0)</f>
        <v>536</v>
      </c>
      <c r="J432">
        <f>IFERROR(__xludf.DUMMYFUNCTION("""COMPUTED_VALUE"""),8.0)</f>
        <v>8</v>
      </c>
      <c r="K432">
        <f>IFERROR(__xludf.DUMMYFUNCTION("""COMPUTED_VALUE"""),100.0)</f>
        <v>100</v>
      </c>
      <c r="L432" t="str">
        <f>IFERROR(__xludf.DUMMYFUNCTION("""COMPUTED_VALUE"""),"LBAGPP48B62F052W")</f>
        <v>LBAGPP48B62F052W</v>
      </c>
      <c r="M432">
        <f>IFERROR(__xludf.DUMMYFUNCTION("""COMPUTED_VALUE"""),6.0)</f>
        <v>6</v>
      </c>
      <c r="N432">
        <f>IFERROR(__xludf.DUMMYFUNCTION("""COMPUTED_VALUE"""),42374.0)</f>
        <v>42374</v>
      </c>
      <c r="O432" t="str">
        <f>IFERROR(__xludf.DUMMYFUNCTION("""COMPUTED_VALUE"""),"")</f>
        <v/>
      </c>
    </row>
    <row r="433">
      <c r="A433">
        <f>IFERROR(__xludf.DUMMYFUNCTION("""COMPUTED_VALUE"""),40.6625034776338)</f>
        <v>40.66250348</v>
      </c>
      <c r="B433">
        <f>IFERROR(__xludf.DUMMYFUNCTION("""COMPUTED_VALUE"""),16.6068933993461)</f>
        <v>16.6068934</v>
      </c>
      <c r="C433" t="str">
        <f>IFERROR(__xludf.DUMMYFUNCTION("""COMPUTED_VALUE"""),"Casa Vacanza")</f>
        <v>Casa Vacanza</v>
      </c>
      <c r="D433" t="str">
        <f>IFERROR(__xludf.DUMMYFUNCTION("""COMPUTED_VALUE"""),"VILLINO 18")</f>
        <v>VILLINO 18</v>
      </c>
      <c r="E433" t="str">
        <f>IFERROR(__xludf.DUMMYFUNCTION("""COMPUTED_VALUE"""),"CRISTALLO ADRIANA")</f>
        <v>CRISTALLO ADRIANA</v>
      </c>
      <c r="F433" t="str">
        <f>IFERROR(__xludf.DUMMYFUNCTION("""COMPUTED_VALUE"""),"VIA ANDREA SERRAO 18")</f>
        <v>VIA ANDREA SERRAO 18</v>
      </c>
      <c r="G433" t="str">
        <f>IFERROR(__xludf.DUMMYFUNCTION("""COMPUTED_VALUE"""),"Matera")</f>
        <v>Matera</v>
      </c>
      <c r="H433" t="str">
        <f>IFERROR(__xludf.DUMMYFUNCTION("""COMPUTED_VALUE"""),"Italy")</f>
        <v>Italy</v>
      </c>
      <c r="I433">
        <f>IFERROR(__xludf.DUMMYFUNCTION("""COMPUTED_VALUE"""),188.0)</f>
        <v>188</v>
      </c>
      <c r="J433">
        <f>IFERROR(__xludf.DUMMYFUNCTION("""COMPUTED_VALUE"""),20.0)</f>
        <v>20</v>
      </c>
      <c r="K433">
        <f>IFERROR(__xludf.DUMMYFUNCTION("""COMPUTED_VALUE"""),103.0)</f>
        <v>103</v>
      </c>
      <c r="L433" t="str">
        <f>IFERROR(__xludf.DUMMYFUNCTION("""COMPUTED_VALUE"""),"CRSDRN95E70F052N")</f>
        <v>CRSDRN95E70F052N</v>
      </c>
      <c r="M433">
        <f>IFERROR(__xludf.DUMMYFUNCTION("""COMPUTED_VALUE"""),5.0)</f>
        <v>5</v>
      </c>
      <c r="N433">
        <f>IFERROR(__xludf.DUMMYFUNCTION("""COMPUTED_VALUE"""),43525.0)</f>
        <v>43525</v>
      </c>
      <c r="O433" t="str">
        <f>IFERROR(__xludf.DUMMYFUNCTION("""COMPUTED_VALUE"""),"")</f>
        <v/>
      </c>
    </row>
    <row r="434">
      <c r="A434">
        <f>IFERROR(__xludf.DUMMYFUNCTION("""COMPUTED_VALUE"""),40.6658978)</f>
        <v>40.6658978</v>
      </c>
      <c r="B434">
        <f>IFERROR(__xludf.DUMMYFUNCTION("""COMPUTED_VALUE"""),16.6021479)</f>
        <v>16.6021479</v>
      </c>
      <c r="C434" t="str">
        <f>IFERROR(__xludf.DUMMYFUNCTION("""COMPUTED_VALUE"""),"Casa Vacanza")</f>
        <v>Casa Vacanza</v>
      </c>
      <c r="D434" t="str">
        <f>IFERROR(__xludf.DUMMYFUNCTION("""COMPUTED_VALUE"""),"VISITAZIONE HOLIDAY SUITE")</f>
        <v>VISITAZIONE HOLIDAY SUITE</v>
      </c>
      <c r="E434" t="str">
        <f>IFERROR(__xludf.DUMMYFUNCTION("""COMPUTED_VALUE"""),"ERSILIANO MASSIMILIANO")</f>
        <v>ERSILIANO MASSIMILIANO</v>
      </c>
      <c r="F434" t="str">
        <f>IFERROR(__xludf.DUMMYFUNCTION("""COMPUTED_VALUE"""),"VIA TORTORELLA 3")</f>
        <v>VIA TORTORELLA 3</v>
      </c>
      <c r="G434" t="str">
        <f>IFERROR(__xludf.DUMMYFUNCTION("""COMPUTED_VALUE"""),"Matera")</f>
        <v>Matera</v>
      </c>
      <c r="H434" t="str">
        <f>IFERROR(__xludf.DUMMYFUNCTION("""COMPUTED_VALUE"""),"Italy")</f>
        <v>Italy</v>
      </c>
      <c r="I434">
        <f>IFERROR(__xludf.DUMMYFUNCTION("""COMPUTED_VALUE"""),216.0)</f>
        <v>216</v>
      </c>
      <c r="J434">
        <f>IFERROR(__xludf.DUMMYFUNCTION("""COMPUTED_VALUE"""),59.0)</f>
        <v>59</v>
      </c>
      <c r="K434">
        <f>IFERROR(__xludf.DUMMYFUNCTION("""COMPUTED_VALUE"""),71.0)</f>
        <v>71</v>
      </c>
      <c r="L434" t="str">
        <f>IFERROR(__xludf.DUMMYFUNCTION("""COMPUTED_VALUE"""),"RSLMSM69P03D086X")</f>
        <v>RSLMSM69P03D086X</v>
      </c>
      <c r="M434">
        <f>IFERROR(__xludf.DUMMYFUNCTION("""COMPUTED_VALUE"""),4.0)</f>
        <v>4</v>
      </c>
      <c r="N434">
        <f>IFERROR(__xludf.DUMMYFUNCTION("""COMPUTED_VALUE"""),42868.0)</f>
        <v>42868</v>
      </c>
      <c r="O434">
        <f>IFERROR(__xludf.DUMMYFUNCTION("""COMPUTED_VALUE"""),1945.0)</f>
        <v>1945</v>
      </c>
    </row>
    <row r="435">
      <c r="A435">
        <f>IFERROR(__xludf.DUMMYFUNCTION("""COMPUTED_VALUE"""),40.6650442)</f>
        <v>40.6650442</v>
      </c>
      <c r="B435">
        <f>IFERROR(__xludf.DUMMYFUNCTION("""COMPUTED_VALUE"""),16.6087465)</f>
        <v>16.6087465</v>
      </c>
      <c r="C435" t="str">
        <f>IFERROR(__xludf.DUMMYFUNCTION("""COMPUTED_VALUE"""),"Casa Vacanza")</f>
        <v>Casa Vacanza</v>
      </c>
      <c r="D435" t="str">
        <f>IFERROR(__xludf.DUMMYFUNCTION("""COMPUTED_VALUE"""),"VISTA CASTELLO")</f>
        <v>VISTA CASTELLO</v>
      </c>
      <c r="E435" t="str">
        <f>IFERROR(__xludf.DUMMYFUNCTION("""COMPUTED_VALUE"""),"PATERNOSTER FRANCESCO P.")</f>
        <v>PATERNOSTER FRANCESCO P.</v>
      </c>
      <c r="F435" t="str">
        <f>IFERROR(__xludf.DUMMYFUNCTION("""COMPUTED_VALUE"""),"VIA DEL CORSO 92")</f>
        <v>VIA DEL CORSO 92</v>
      </c>
      <c r="G435" t="str">
        <f>IFERROR(__xludf.DUMMYFUNCTION("""COMPUTED_VALUE"""),"Matera")</f>
        <v>Matera</v>
      </c>
      <c r="H435" t="str">
        <f>IFERROR(__xludf.DUMMYFUNCTION("""COMPUTED_VALUE"""),"Italy")</f>
        <v>Italy</v>
      </c>
      <c r="I435">
        <f>IFERROR(__xludf.DUMMYFUNCTION("""COMPUTED_VALUE"""),3541.0)</f>
        <v>3541</v>
      </c>
      <c r="J435">
        <f>IFERROR(__xludf.DUMMYFUNCTION("""COMPUTED_VALUE"""),9.0)</f>
        <v>9</v>
      </c>
      <c r="K435">
        <f>IFERROR(__xludf.DUMMYFUNCTION("""COMPUTED_VALUE"""),159.0)</f>
        <v>159</v>
      </c>
      <c r="L435" t="str">
        <f>IFERROR(__xludf.DUMMYFUNCTION("""COMPUTED_VALUE"""),"PTRFNC86H06F052A")</f>
        <v>PTRFNC86H06F052A</v>
      </c>
      <c r="M435">
        <f>IFERROR(__xludf.DUMMYFUNCTION("""COMPUTED_VALUE"""),6.0)</f>
        <v>6</v>
      </c>
      <c r="N435">
        <f>IFERROR(__xludf.DUMMYFUNCTION("""COMPUTED_VALUE"""),42278.0)</f>
        <v>42278</v>
      </c>
      <c r="O435" t="str">
        <f>IFERROR(__xludf.DUMMYFUNCTION("""COMPUTED_VALUE"""),"")</f>
        <v/>
      </c>
    </row>
    <row r="436">
      <c r="A436">
        <f>IFERROR(__xludf.DUMMYFUNCTION("""COMPUTED_VALUE"""),40.663083)</f>
        <v>40.663083</v>
      </c>
      <c r="B436">
        <f>IFERROR(__xludf.DUMMYFUNCTION("""COMPUTED_VALUE"""),16.5978122)</f>
        <v>16.5978122</v>
      </c>
      <c r="C436" t="str">
        <f>IFERROR(__xludf.DUMMYFUNCTION("""COMPUTED_VALUE"""),"Casa Vacanza")</f>
        <v>Casa Vacanza</v>
      </c>
      <c r="D436" t="str">
        <f>IFERROR(__xludf.DUMMYFUNCTION("""COMPUTED_VALUE"""),"ZIA LALLA")</f>
        <v>ZIA LALLA</v>
      </c>
      <c r="E436" t="str">
        <f>IFERROR(__xludf.DUMMYFUNCTION("""COMPUTED_VALUE"""),"GIUSEPPE CARLUCCI")</f>
        <v>GIUSEPPE CARLUCCI</v>
      </c>
      <c r="F436" t="str">
        <f>IFERROR(__xludf.DUMMYFUNCTION("""COMPUTED_VALUE"""),"PIAZZA MICHELE BIANCO 10")</f>
        <v>PIAZZA MICHELE BIANCO 10</v>
      </c>
      <c r="G436" t="str">
        <f>IFERROR(__xludf.DUMMYFUNCTION("""COMPUTED_VALUE"""),"Matera")</f>
        <v>Matera</v>
      </c>
      <c r="H436" t="str">
        <f>IFERROR(__xludf.DUMMYFUNCTION("""COMPUTED_VALUE"""),"Italy")</f>
        <v>Italy</v>
      </c>
      <c r="I436">
        <f>IFERROR(__xludf.DUMMYFUNCTION("""COMPUTED_VALUE"""),664.0)</f>
        <v>664</v>
      </c>
      <c r="J436">
        <f>IFERROR(__xludf.DUMMYFUNCTION("""COMPUTED_VALUE"""),7.0)</f>
        <v>7</v>
      </c>
      <c r="K436">
        <f>IFERROR(__xludf.DUMMYFUNCTION("""COMPUTED_VALUE"""),159.0)</f>
        <v>159</v>
      </c>
      <c r="L436" t="str">
        <f>IFERROR(__xludf.DUMMYFUNCTION("""COMPUTED_VALUE"""),"CRLGPP80H19F052U")</f>
        <v>CRLGPP80H19F052U</v>
      </c>
      <c r="M436">
        <f>IFERROR(__xludf.DUMMYFUNCTION("""COMPUTED_VALUE"""),4.0)</f>
        <v>4</v>
      </c>
      <c r="N436">
        <f>IFERROR(__xludf.DUMMYFUNCTION("""COMPUTED_VALUE"""),41914.0)</f>
        <v>41914</v>
      </c>
      <c r="O436" t="str">
        <f>IFERROR(__xludf.DUMMYFUNCTION("""COMPUTED_VALUE"""),"")</f>
        <v/>
      </c>
    </row>
    <row r="437">
      <c r="A437">
        <f>IFERROR(__xludf.DUMMYFUNCTION("""COMPUTED_VALUE"""),40.691637)</f>
        <v>40.691637</v>
      </c>
      <c r="B437">
        <f>IFERROR(__xludf.DUMMYFUNCTION("""COMPUTED_VALUE"""),16.58187)</f>
        <v>16.58187</v>
      </c>
      <c r="C437" t="str">
        <f>IFERROR(__xludf.DUMMYFUNCTION("""COMPUTED_VALUE"""),"Casa Vacanza")</f>
        <v>Casa Vacanza</v>
      </c>
      <c r="D437" t="str">
        <f>IFERROR(__xludf.DUMMYFUNCTION("""COMPUTED_VALUE"""),"IL CILIEGIO")</f>
        <v>IL CILIEGIO</v>
      </c>
      <c r="E437" t="str">
        <f>IFERROR(__xludf.DUMMYFUNCTION("""COMPUTED_VALUE"""),"SCASCIAMACCHIA  MARIA ROSARIA")</f>
        <v>SCASCIAMACCHIA  MARIA ROSARIA</v>
      </c>
      <c r="F437" t="str">
        <f>IFERROR(__xludf.DUMMYFUNCTION("""COMPUTED_VALUE"""),"VIA DEI LUCANI 58")</f>
        <v>VIA DEI LUCANI 58</v>
      </c>
      <c r="G437" t="str">
        <f>IFERROR(__xludf.DUMMYFUNCTION("""COMPUTED_VALUE"""),"Matera")</f>
        <v>Matera</v>
      </c>
      <c r="H437" t="str">
        <f>IFERROR(__xludf.DUMMYFUNCTION("""COMPUTED_VALUE"""),"Italy")</f>
        <v>Italy</v>
      </c>
      <c r="I437">
        <f>IFERROR(__xludf.DUMMYFUNCTION("""COMPUTED_VALUE"""),503.0)</f>
        <v>503</v>
      </c>
      <c r="J437">
        <f>IFERROR(__xludf.DUMMYFUNCTION("""COMPUTED_VALUE"""),3.0)</f>
        <v>3</v>
      </c>
      <c r="K437">
        <f>IFERROR(__xludf.DUMMYFUNCTION("""COMPUTED_VALUE"""),30.0)</f>
        <v>30</v>
      </c>
      <c r="L437" t="str">
        <f>IFERROR(__xludf.DUMMYFUNCTION("""COMPUTED_VALUE"""),"SCSMRS74L43F052M")</f>
        <v>SCSMRS74L43F052M</v>
      </c>
      <c r="M437">
        <f>IFERROR(__xludf.DUMMYFUNCTION("""COMPUTED_VALUE"""),4.0)</f>
        <v>4</v>
      </c>
      <c r="N437">
        <f>IFERROR(__xludf.DUMMYFUNCTION("""COMPUTED_VALUE"""),43381.0)</f>
        <v>43381</v>
      </c>
      <c r="O437" t="str">
        <f>IFERROR(__xludf.DUMMYFUNCTION("""COMPUTED_VALUE"""),"")</f>
        <v/>
      </c>
    </row>
    <row r="438">
      <c r="A438">
        <f>IFERROR(__xludf.DUMMYFUNCTION("""COMPUTED_VALUE"""),40.687194)</f>
        <v>40.687194</v>
      </c>
      <c r="B438">
        <f>IFERROR(__xludf.DUMMYFUNCTION("""COMPUTED_VALUE"""),16.636529)</f>
        <v>16.636529</v>
      </c>
      <c r="C438" t="str">
        <f>IFERROR(__xludf.DUMMYFUNCTION("""COMPUTED_VALUE"""),"Casa Vacanza")</f>
        <v>Casa Vacanza</v>
      </c>
      <c r="D438" t="str">
        <f>IFERROR(__xludf.DUMMYFUNCTION("""COMPUTED_VALUE"""),"VENTO BAROCCO 1")</f>
        <v>VENTO BAROCCO 1</v>
      </c>
      <c r="E438" t="str">
        <f>IFERROR(__xludf.DUMMYFUNCTION("""COMPUTED_VALUE"""),"BRUNO LIVIA")</f>
        <v>BRUNO LIVIA</v>
      </c>
      <c r="F438" t="str">
        <f>IFERROR(__xludf.DUMMYFUNCTION("""COMPUTED_VALUE"""),"CONTRADA TRE PONTI")</f>
        <v>CONTRADA TRE PONTI</v>
      </c>
      <c r="G438" t="str">
        <f>IFERROR(__xludf.DUMMYFUNCTION("""COMPUTED_VALUE"""),"Matera")</f>
        <v>Matera</v>
      </c>
      <c r="H438" t="str">
        <f>IFERROR(__xludf.DUMMYFUNCTION("""COMPUTED_VALUE"""),"Italy")</f>
        <v>Italy</v>
      </c>
      <c r="I438">
        <f>IFERROR(__xludf.DUMMYFUNCTION("""COMPUTED_VALUE"""),550.0)</f>
        <v>550</v>
      </c>
      <c r="J438">
        <f>IFERROR(__xludf.DUMMYFUNCTION("""COMPUTED_VALUE"""),3.0)</f>
        <v>3</v>
      </c>
      <c r="K438">
        <f>IFERROR(__xludf.DUMMYFUNCTION("""COMPUTED_VALUE"""),54.0)</f>
        <v>54</v>
      </c>
      <c r="L438" t="str">
        <f>IFERROR(__xludf.DUMMYFUNCTION("""COMPUTED_VALUE"""),"BRNLVI78D56A6620")</f>
        <v>BRNLVI78D56A6620</v>
      </c>
      <c r="M438">
        <f>IFERROR(__xludf.DUMMYFUNCTION("""COMPUTED_VALUE"""),3.0)</f>
        <v>3</v>
      </c>
      <c r="N438">
        <f>IFERROR(__xludf.DUMMYFUNCTION("""COMPUTED_VALUE"""),43385.0)</f>
        <v>43385</v>
      </c>
      <c r="O438">
        <f>IFERROR(__xludf.DUMMYFUNCTION("""COMPUTED_VALUE"""),1804.0)</f>
        <v>1804</v>
      </c>
    </row>
    <row r="439">
      <c r="A439">
        <f>IFERROR(__xludf.DUMMYFUNCTION("""COMPUTED_VALUE"""),40.687194)</f>
        <v>40.687194</v>
      </c>
      <c r="B439">
        <f>IFERROR(__xludf.DUMMYFUNCTION("""COMPUTED_VALUE"""),16.636531)</f>
        <v>16.636531</v>
      </c>
      <c r="C439" t="str">
        <f>IFERROR(__xludf.DUMMYFUNCTION("""COMPUTED_VALUE"""),"Casa Vacanza")</f>
        <v>Casa Vacanza</v>
      </c>
      <c r="D439" t="str">
        <f>IFERROR(__xludf.DUMMYFUNCTION("""COMPUTED_VALUE"""),"VENTO BAROCCO 2")</f>
        <v>VENTO BAROCCO 2</v>
      </c>
      <c r="E439" t="str">
        <f>IFERROR(__xludf.DUMMYFUNCTION("""COMPUTED_VALUE"""),"BRUNO LIVIA")</f>
        <v>BRUNO LIVIA</v>
      </c>
      <c r="F439" t="str">
        <f>IFERROR(__xludf.DUMMYFUNCTION("""COMPUTED_VALUE"""),"CONTRADA TRE PONTI")</f>
        <v>CONTRADA TRE PONTI</v>
      </c>
      <c r="G439" t="str">
        <f>IFERROR(__xludf.DUMMYFUNCTION("""COMPUTED_VALUE"""),"Matera")</f>
        <v>Matera</v>
      </c>
      <c r="H439" t="str">
        <f>IFERROR(__xludf.DUMMYFUNCTION("""COMPUTED_VALUE"""),"Italy")</f>
        <v>Italy</v>
      </c>
      <c r="I439">
        <f>IFERROR(__xludf.DUMMYFUNCTION("""COMPUTED_VALUE"""),550.0)</f>
        <v>550</v>
      </c>
      <c r="J439">
        <f>IFERROR(__xludf.DUMMYFUNCTION("""COMPUTED_VALUE"""),4.0)</f>
        <v>4</v>
      </c>
      <c r="K439">
        <f>IFERROR(__xludf.DUMMYFUNCTION("""COMPUTED_VALUE"""),54.0)</f>
        <v>54</v>
      </c>
      <c r="L439" t="str">
        <f>IFERROR(__xludf.DUMMYFUNCTION("""COMPUTED_VALUE"""),"BRNLV178D56A6620")</f>
        <v>BRNLV178D56A6620</v>
      </c>
      <c r="M439">
        <f>IFERROR(__xludf.DUMMYFUNCTION("""COMPUTED_VALUE"""),3.0)</f>
        <v>3</v>
      </c>
      <c r="N439">
        <f>IFERROR(__xludf.DUMMYFUNCTION("""COMPUTED_VALUE"""),43385.0)</f>
        <v>43385</v>
      </c>
      <c r="O439">
        <f>IFERROR(__xludf.DUMMYFUNCTION("""COMPUTED_VALUE"""),1804.0)</f>
        <v>1804</v>
      </c>
    </row>
    <row r="440">
      <c r="A440">
        <f>IFERROR(__xludf.DUMMYFUNCTION("""COMPUTED_VALUE"""),40.662418)</f>
        <v>40.662418</v>
      </c>
      <c r="B440">
        <f>IFERROR(__xludf.DUMMYFUNCTION("""COMPUTED_VALUE"""),16.610286)</f>
        <v>16.610286</v>
      </c>
      <c r="C440" t="str">
        <f>IFERROR(__xludf.DUMMYFUNCTION("""COMPUTED_VALUE"""),"Casa Vacanza")</f>
        <v>Casa Vacanza</v>
      </c>
      <c r="D440" t="str">
        <f>IFERROR(__xludf.DUMMYFUNCTION("""COMPUTED_VALUE"""),"PALAZZO MONTEMURRO")</f>
        <v>PALAZZO MONTEMURRO</v>
      </c>
      <c r="E440" t="str">
        <f>IFERROR(__xludf.DUMMYFUNCTION("""COMPUTED_VALUE"""),"CREATREE DI PASQUALE ED ANTONELLA MONTEMURRO")</f>
        <v>CREATREE DI PASQUALE ED ANTONELLA MONTEMURRO</v>
      </c>
      <c r="F440" t="str">
        <f>IFERROR(__xludf.DUMMYFUNCTION("""COMPUTED_VALUE"""),"VIA CASALNUOVO 14 BIS")</f>
        <v>VIA CASALNUOVO 14 BIS</v>
      </c>
      <c r="G440" t="str">
        <f>IFERROR(__xludf.DUMMYFUNCTION("""COMPUTED_VALUE"""),"Matera")</f>
        <v>Matera</v>
      </c>
      <c r="H440" t="str">
        <f>IFERROR(__xludf.DUMMYFUNCTION("""COMPUTED_VALUE"""),"Italy")</f>
        <v>Italy</v>
      </c>
      <c r="I440">
        <f>IFERROR(__xludf.DUMMYFUNCTION("""COMPUTED_VALUE"""),2558.0)</f>
        <v>2558</v>
      </c>
      <c r="J440">
        <f>IFERROR(__xludf.DUMMYFUNCTION("""COMPUTED_VALUE"""),6.0)</f>
        <v>6</v>
      </c>
      <c r="K440">
        <f>IFERROR(__xludf.DUMMYFUNCTION("""COMPUTED_VALUE"""),159.0)</f>
        <v>159</v>
      </c>
      <c r="L440">
        <f>IFERROR(__xludf.DUMMYFUNCTION("""COMPUTED_VALUE"""),1.231130772E9)</f>
        <v>1231130772</v>
      </c>
      <c r="M440">
        <f>IFERROR(__xludf.DUMMYFUNCTION("""COMPUTED_VALUE"""),4.0)</f>
        <v>4</v>
      </c>
      <c r="N440">
        <f>IFERROR(__xludf.DUMMYFUNCTION("""COMPUTED_VALUE"""),43399.0)</f>
        <v>43399</v>
      </c>
      <c r="O440" t="str">
        <f>IFERROR(__xludf.DUMMYFUNCTION("""COMPUTED_VALUE"""),"")</f>
        <v/>
      </c>
    </row>
    <row r="441">
      <c r="A441">
        <f>IFERROR(__xludf.DUMMYFUNCTION("""COMPUTED_VALUE"""),40.671439)</f>
        <v>40.671439</v>
      </c>
      <c r="B441">
        <f>IFERROR(__xludf.DUMMYFUNCTION("""COMPUTED_VALUE"""),16.606476)</f>
        <v>16.606476</v>
      </c>
      <c r="C441" t="str">
        <f>IFERROR(__xludf.DUMMYFUNCTION("""COMPUTED_VALUE"""),"Casa Vacanza")</f>
        <v>Casa Vacanza</v>
      </c>
      <c r="D441" t="str">
        <f>IFERROR(__xludf.DUMMYFUNCTION("""COMPUTED_VALUE"""),"SULLE NOTE DEI SASSI")</f>
        <v>SULLE NOTE DEI SASSI</v>
      </c>
      <c r="E441" t="str">
        <f>IFERROR(__xludf.DUMMYFUNCTION("""COMPUTED_VALUE"""),"TORTORELLI PAOLA ROSA")</f>
        <v>TORTORELLI PAOLA ROSA</v>
      </c>
      <c r="F441" t="str">
        <f>IFERROR(__xludf.DUMMYFUNCTION("""COMPUTED_VALUE"""),"VICO TORQUATO TASSO 5")</f>
        <v>VICO TORQUATO TASSO 5</v>
      </c>
      <c r="G441" t="str">
        <f>IFERROR(__xludf.DUMMYFUNCTION("""COMPUTED_VALUE"""),"Matera")</f>
        <v>Matera</v>
      </c>
      <c r="H441" t="str">
        <f>IFERROR(__xludf.DUMMYFUNCTION("""COMPUTED_VALUE"""),"Italy")</f>
        <v>Italy</v>
      </c>
      <c r="I441">
        <f>IFERROR(__xludf.DUMMYFUNCTION("""COMPUTED_VALUE"""),3678.0)</f>
        <v>3678</v>
      </c>
      <c r="J441">
        <f>IFERROR(__xludf.DUMMYFUNCTION("""COMPUTED_VALUE"""),10.0)</f>
        <v>10</v>
      </c>
      <c r="K441">
        <f>IFERROR(__xludf.DUMMYFUNCTION("""COMPUTED_VALUE"""),159.0)</f>
        <v>159</v>
      </c>
      <c r="L441" t="str">
        <f>IFERROR(__xludf.DUMMYFUNCTION("""COMPUTED_VALUE"""),"TRTPRS60D57F052Q")</f>
        <v>TRTPRS60D57F052Q</v>
      </c>
      <c r="M441">
        <f>IFERROR(__xludf.DUMMYFUNCTION("""COMPUTED_VALUE"""),3.0)</f>
        <v>3</v>
      </c>
      <c r="N441">
        <f>IFERROR(__xludf.DUMMYFUNCTION("""COMPUTED_VALUE"""),43399.0)</f>
        <v>43399</v>
      </c>
      <c r="O441">
        <f>IFERROR(__xludf.DUMMYFUNCTION("""COMPUTED_VALUE"""),2000.0)</f>
        <v>2000</v>
      </c>
    </row>
    <row r="442">
      <c r="A442">
        <f>IFERROR(__xludf.DUMMYFUNCTION("""COMPUTED_VALUE"""),40.662211)</f>
        <v>40.662211</v>
      </c>
      <c r="B442">
        <f>IFERROR(__xludf.DUMMYFUNCTION("""COMPUTED_VALUE"""),16.611047)</f>
        <v>16.611047</v>
      </c>
      <c r="C442" t="str">
        <f>IFERROR(__xludf.DUMMYFUNCTION("""COMPUTED_VALUE"""),"Casa Vacanza")</f>
        <v>Casa Vacanza</v>
      </c>
      <c r="D442" t="str">
        <f>IFERROR(__xludf.DUMMYFUNCTION("""COMPUTED_VALUE"""),"LA SASSOLINA")</f>
        <v>LA SASSOLINA</v>
      </c>
      <c r="E442" t="str">
        <f>IFERROR(__xludf.DUMMYFUNCTION("""COMPUTED_VALUE"""),"ROSALBA MIGLIO")</f>
        <v>ROSALBA MIGLIO</v>
      </c>
      <c r="F442" t="str">
        <f>IFERROR(__xludf.DUMMYFUNCTION("""COMPUTED_VALUE"""),"VIA BRUNO BUOZZI 15")</f>
        <v>VIA BRUNO BUOZZI 15</v>
      </c>
      <c r="G442" t="str">
        <f>IFERROR(__xludf.DUMMYFUNCTION("""COMPUTED_VALUE"""),"Matera")</f>
        <v>Matera</v>
      </c>
      <c r="H442" t="str">
        <f>IFERROR(__xludf.DUMMYFUNCTION("""COMPUTED_VALUE"""),"italy")</f>
        <v>italy</v>
      </c>
      <c r="I442">
        <f>IFERROR(__xludf.DUMMYFUNCTION("""COMPUTED_VALUE"""),1947.0)</f>
        <v>1947</v>
      </c>
      <c r="J442">
        <f>IFERROR(__xludf.DUMMYFUNCTION("""COMPUTED_VALUE"""),6.0)</f>
        <v>6</v>
      </c>
      <c r="K442">
        <f>IFERROR(__xludf.DUMMYFUNCTION("""COMPUTED_VALUE"""),159.0)</f>
        <v>159</v>
      </c>
      <c r="L442" t="str">
        <f>IFERROR(__xludf.DUMMYFUNCTION("""COMPUTED_VALUE"""),"MGLRLB76P47C134H")</f>
        <v>MGLRLB76P47C134H</v>
      </c>
      <c r="M442">
        <f>IFERROR(__xludf.DUMMYFUNCTION("""COMPUTED_VALUE"""),3.0)</f>
        <v>3</v>
      </c>
      <c r="N442">
        <f>IFERROR(__xludf.DUMMYFUNCTION("""COMPUTED_VALUE"""),43403.0)</f>
        <v>43403</v>
      </c>
      <c r="O442" t="str">
        <f>IFERROR(__xludf.DUMMYFUNCTION("""COMPUTED_VALUE"""),"")</f>
        <v/>
      </c>
    </row>
    <row r="443">
      <c r="A443">
        <f>IFERROR(__xludf.DUMMYFUNCTION("""COMPUTED_VALUE"""),40.662422)</f>
        <v>40.662422</v>
      </c>
      <c r="B443">
        <f>IFERROR(__xludf.DUMMYFUNCTION("""COMPUTED_VALUE"""),16.610289)</f>
        <v>16.610289</v>
      </c>
      <c r="C443" t="str">
        <f>IFERROR(__xludf.DUMMYFUNCTION("""COMPUTED_VALUE"""),"Casa Vacanza")</f>
        <v>Casa Vacanza</v>
      </c>
      <c r="D443" t="str">
        <f>IFERROR(__xludf.DUMMYFUNCTION("""COMPUTED_VALUE"""),"PALAZZO MONTEMURRO")</f>
        <v>PALAZZO MONTEMURRO</v>
      </c>
      <c r="E443" t="str">
        <f>IFERROR(__xludf.DUMMYFUNCTION("""COMPUTED_VALUE"""),"CREATREE DI PASQUALE ED ANTONELLA MONTEMURRO")</f>
        <v>CREATREE DI PASQUALE ED ANTONELLA MONTEMURRO</v>
      </c>
      <c r="F443" t="str">
        <f>IFERROR(__xludf.DUMMYFUNCTION("""COMPUTED_VALUE"""),"VIA CASALNUOVO 14 BIS")</f>
        <v>VIA CASALNUOVO 14 BIS</v>
      </c>
      <c r="G443" t="str">
        <f>IFERROR(__xludf.DUMMYFUNCTION("""COMPUTED_VALUE"""),"Matera")</f>
        <v>Matera</v>
      </c>
      <c r="H443" t="str">
        <f>IFERROR(__xludf.DUMMYFUNCTION("""COMPUTED_VALUE"""),"Italy")</f>
        <v>Italy</v>
      </c>
      <c r="I443">
        <f>IFERROR(__xludf.DUMMYFUNCTION("""COMPUTED_VALUE"""),2558.0)</f>
        <v>2558</v>
      </c>
      <c r="J443">
        <f>IFERROR(__xludf.DUMMYFUNCTION("""COMPUTED_VALUE"""),6.0)</f>
        <v>6</v>
      </c>
      <c r="K443">
        <f>IFERROR(__xludf.DUMMYFUNCTION("""COMPUTED_VALUE"""),159.0)</f>
        <v>159</v>
      </c>
      <c r="L443">
        <f>IFERROR(__xludf.DUMMYFUNCTION("""COMPUTED_VALUE"""),1.231130772E9)</f>
        <v>1231130772</v>
      </c>
      <c r="M443">
        <f>IFERROR(__xludf.DUMMYFUNCTION("""COMPUTED_VALUE"""),9.0)</f>
        <v>9</v>
      </c>
      <c r="N443">
        <f>IFERROR(__xludf.DUMMYFUNCTION("""COMPUTED_VALUE"""),43399.0)</f>
        <v>43399</v>
      </c>
      <c r="O443">
        <f>IFERROR(__xludf.DUMMYFUNCTION("""COMPUTED_VALUE"""),2057.0)</f>
        <v>2057</v>
      </c>
    </row>
    <row r="444">
      <c r="A444">
        <f>IFERROR(__xludf.DUMMYFUNCTION("""COMPUTED_VALUE"""),40.670391)</f>
        <v>40.670391</v>
      </c>
      <c r="B444">
        <f>IFERROR(__xludf.DUMMYFUNCTION("""COMPUTED_VALUE"""),16.607548)</f>
        <v>16.607548</v>
      </c>
      <c r="C444" t="str">
        <f>IFERROR(__xludf.DUMMYFUNCTION("""COMPUTED_VALUE"""),"Casa Vacanza")</f>
        <v>Casa Vacanza</v>
      </c>
      <c r="D444" t="str">
        <f>IFERROR(__xludf.DUMMYFUNCTION("""COMPUTED_VALUE"""),"PETRA MATER")</f>
        <v>PETRA MATER</v>
      </c>
      <c r="E444" t="str">
        <f>IFERROR(__xludf.DUMMYFUNCTION("""COMPUTED_VALUE"""),"LAMACCHIA IMMACOLATA")</f>
        <v>LAMACCHIA IMMACOLATA</v>
      </c>
      <c r="F444" t="str">
        <f>IFERROR(__xludf.DUMMYFUNCTION("""COMPUTED_VALUE"""),"VIA FRANCESCO PAOLO VOLPE 14")</f>
        <v>VIA FRANCESCO PAOLO VOLPE 14</v>
      </c>
      <c r="G444" t="str">
        <f>IFERROR(__xludf.DUMMYFUNCTION("""COMPUTED_VALUE"""),"Matera")</f>
        <v>Matera</v>
      </c>
      <c r="H444" t="str">
        <f>IFERROR(__xludf.DUMMYFUNCTION("""COMPUTED_VALUE"""),"Italy")</f>
        <v>Italy</v>
      </c>
      <c r="I444">
        <f>IFERROR(__xludf.DUMMYFUNCTION("""COMPUTED_VALUE"""),3599.0)</f>
        <v>3599</v>
      </c>
      <c r="J444">
        <f>IFERROR(__xludf.DUMMYFUNCTION("""COMPUTED_VALUE"""),3.0)</f>
        <v>3</v>
      </c>
      <c r="K444">
        <f>IFERROR(__xludf.DUMMYFUNCTION("""COMPUTED_VALUE"""),159.0)</f>
        <v>159</v>
      </c>
      <c r="L444" t="str">
        <f>IFERROR(__xludf.DUMMYFUNCTION("""COMPUTED_VALUE"""),"LMCMCL67H56F052U")</f>
        <v>LMCMCL67H56F052U</v>
      </c>
      <c r="M444">
        <f>IFERROR(__xludf.DUMMYFUNCTION("""COMPUTED_VALUE"""),4.0)</f>
        <v>4</v>
      </c>
      <c r="N444">
        <f>IFERROR(__xludf.DUMMYFUNCTION("""COMPUTED_VALUE"""),43412.0)</f>
        <v>43412</v>
      </c>
      <c r="O444">
        <f>IFERROR(__xludf.DUMMYFUNCTION("""COMPUTED_VALUE"""),1757.0)</f>
        <v>1757</v>
      </c>
    </row>
    <row r="445">
      <c r="A445">
        <f>IFERROR(__xludf.DUMMYFUNCTION("""COMPUTED_VALUE"""),40.658288)</f>
        <v>40.658288</v>
      </c>
      <c r="B445">
        <f>IFERROR(__xludf.DUMMYFUNCTION("""COMPUTED_VALUE"""),16.538241)</f>
        <v>16.538241</v>
      </c>
      <c r="C445" t="str">
        <f>IFERROR(__xludf.DUMMYFUNCTION("""COMPUTED_VALUE"""),"Casa Vacanza")</f>
        <v>Casa Vacanza</v>
      </c>
      <c r="D445" t="str">
        <f>IFERROR(__xludf.DUMMYFUNCTION("""COMPUTED_VALUE"""),"FINESTRA SUL BORGO")</f>
        <v>FINESTRA SUL BORGO</v>
      </c>
      <c r="E445" t="str">
        <f>IFERROR(__xludf.DUMMYFUNCTION("""COMPUTED_VALUE"""),"FIORE GIUSEPPE")</f>
        <v>FIORE GIUSEPPE</v>
      </c>
      <c r="F445" t="str">
        <f>IFERROR(__xludf.DUMMYFUNCTION("""COMPUTED_VALUE"""),"CONTRADA MONACELLE")</f>
        <v>CONTRADA MONACELLE</v>
      </c>
      <c r="G445" t="str">
        <f>IFERROR(__xludf.DUMMYFUNCTION("""COMPUTED_VALUE"""),"Matera")</f>
        <v>Matera</v>
      </c>
      <c r="H445" t="str">
        <f>IFERROR(__xludf.DUMMYFUNCTION("""COMPUTED_VALUE"""),"Italy")</f>
        <v>Italy</v>
      </c>
      <c r="I445">
        <f>IFERROR(__xludf.DUMMYFUNCTION("""COMPUTED_VALUE"""),276.0)</f>
        <v>276</v>
      </c>
      <c r="J445">
        <f>IFERROR(__xludf.DUMMYFUNCTION("""COMPUTED_VALUE"""),15.0)</f>
        <v>15</v>
      </c>
      <c r="K445">
        <f>IFERROR(__xludf.DUMMYFUNCTION("""COMPUTED_VALUE"""),92.0)</f>
        <v>92</v>
      </c>
      <c r="L445" t="str">
        <f>IFERROR(__xludf.DUMMYFUNCTION("""COMPUTED_VALUE"""),"FRIGPP68M27FO52T")</f>
        <v>FRIGPP68M27FO52T</v>
      </c>
      <c r="M445">
        <f>IFERROR(__xludf.DUMMYFUNCTION("""COMPUTED_VALUE"""),5.0)</f>
        <v>5</v>
      </c>
      <c r="N445">
        <f>IFERROR(__xludf.DUMMYFUNCTION("""COMPUTED_VALUE"""),43031.0)</f>
        <v>43031</v>
      </c>
      <c r="O445">
        <f>IFERROR(__xludf.DUMMYFUNCTION("""COMPUTED_VALUE"""),1535.0)</f>
        <v>1535</v>
      </c>
    </row>
    <row r="446">
      <c r="A446">
        <f>IFERROR(__xludf.DUMMYFUNCTION("""COMPUTED_VALUE"""),40.658446)</f>
        <v>40.658446</v>
      </c>
      <c r="B446">
        <f>IFERROR(__xludf.DUMMYFUNCTION("""COMPUTED_VALUE"""),16.605056)</f>
        <v>16.605056</v>
      </c>
      <c r="C446" t="str">
        <f>IFERROR(__xludf.DUMMYFUNCTION("""COMPUTED_VALUE"""),"Casa Vacanza")</f>
        <v>Casa Vacanza</v>
      </c>
      <c r="D446" t="str">
        <f>IFERROR(__xludf.DUMMYFUNCTION("""COMPUTED_VALUE"""),"LA FINESTRA DI GIOVI")</f>
        <v>LA FINESTRA DI GIOVI</v>
      </c>
      <c r="E446" t="str">
        <f>IFERROR(__xludf.DUMMYFUNCTION("""COMPUTED_VALUE"""),"BELLOMO ROSA")</f>
        <v>BELLOMO ROSA</v>
      </c>
      <c r="F446" t="str">
        <f>IFERROR(__xludf.DUMMYFUNCTION("""COMPUTED_VALUE"""),"VIALE DEL GELSOMINO")</f>
        <v>VIALE DEL GELSOMINO</v>
      </c>
      <c r="G446" t="str">
        <f>IFERROR(__xludf.DUMMYFUNCTION("""COMPUTED_VALUE"""),"Matera")</f>
        <v>Matera</v>
      </c>
      <c r="H446" t="str">
        <f>IFERROR(__xludf.DUMMYFUNCTION("""COMPUTED_VALUE"""),"Italy")</f>
        <v>Italy</v>
      </c>
      <c r="I446">
        <f>IFERROR(__xludf.DUMMYFUNCTION("""COMPUTED_VALUE"""),328.0)</f>
        <v>328</v>
      </c>
      <c r="J446">
        <f>IFERROR(__xludf.DUMMYFUNCTION("""COMPUTED_VALUE"""),9.0)</f>
        <v>9</v>
      </c>
      <c r="K446">
        <f>IFERROR(__xludf.DUMMYFUNCTION("""COMPUTED_VALUE"""),101.0)</f>
        <v>101</v>
      </c>
      <c r="L446" t="str">
        <f>IFERROR(__xludf.DUMMYFUNCTION("""COMPUTED_VALUE"""),"BLLRS052A44F052Z")</f>
        <v>BLLRS052A44F052Z</v>
      </c>
      <c r="M446">
        <f>IFERROR(__xludf.DUMMYFUNCTION("""COMPUTED_VALUE"""),6.0)</f>
        <v>6</v>
      </c>
      <c r="N446">
        <f>IFERROR(__xludf.DUMMYFUNCTION("""COMPUTED_VALUE"""),43430.0)</f>
        <v>43430</v>
      </c>
      <c r="O446">
        <f>IFERROR(__xludf.DUMMYFUNCTION("""COMPUTED_VALUE"""),1544.0)</f>
        <v>1544</v>
      </c>
    </row>
    <row r="447">
      <c r="A447">
        <f>IFERROR(__xludf.DUMMYFUNCTION("""COMPUTED_VALUE"""),40.671919)</f>
        <v>40.671919</v>
      </c>
      <c r="B447">
        <f>IFERROR(__xludf.DUMMYFUNCTION("""COMPUTED_VALUE"""),16.606927)</f>
        <v>16.606927</v>
      </c>
      <c r="C447" t="str">
        <f>IFERROR(__xludf.DUMMYFUNCTION("""COMPUTED_VALUE"""),"Casa Vacanza")</f>
        <v>Casa Vacanza</v>
      </c>
      <c r="D447" t="str">
        <f>IFERROR(__xludf.DUMMYFUNCTION("""COMPUTED_VALUE"""),"LA CASA DI CINZIA")</f>
        <v>LA CASA DI CINZIA</v>
      </c>
      <c r="E447" t="str">
        <f>IFERROR(__xludf.DUMMYFUNCTION("""COMPUTED_VALUE"""),"DITARANTO CINZIA")</f>
        <v>DITARANTO CINZIA</v>
      </c>
      <c r="F447" t="str">
        <f>IFERROR(__xludf.DUMMYFUNCTION("""COMPUTED_VALUE"""),"VIA LAURA BATTISTA 12")</f>
        <v>VIA LAURA BATTISTA 12</v>
      </c>
      <c r="G447" t="str">
        <f>IFERROR(__xludf.DUMMYFUNCTION("""COMPUTED_VALUE"""),"Matera")</f>
        <v>Matera</v>
      </c>
      <c r="H447" t="str">
        <f>IFERROR(__xludf.DUMMYFUNCTION("""COMPUTED_VALUE"""),"Italy")</f>
        <v>Italy</v>
      </c>
      <c r="I447">
        <f>IFERROR(__xludf.DUMMYFUNCTION("""COMPUTED_VALUE"""),3704.0)</f>
        <v>3704</v>
      </c>
      <c r="J447">
        <f>IFERROR(__xludf.DUMMYFUNCTION("""COMPUTED_VALUE"""),8.0)</f>
        <v>8</v>
      </c>
      <c r="K447">
        <f>IFERROR(__xludf.DUMMYFUNCTION("""COMPUTED_VALUE"""),159.0)</f>
        <v>159</v>
      </c>
      <c r="L447" t="str">
        <f>IFERROR(__xludf.DUMMYFUNCTION("""COMPUTED_VALUE"""),"DTRCNZ97D45F052T")</f>
        <v>DTRCNZ97D45F052T</v>
      </c>
      <c r="M447">
        <f>IFERROR(__xludf.DUMMYFUNCTION("""COMPUTED_VALUE"""),5.0)</f>
        <v>5</v>
      </c>
      <c r="N447">
        <f>IFERROR(__xludf.DUMMYFUNCTION("""COMPUTED_VALUE"""),43424.0)</f>
        <v>43424</v>
      </c>
      <c r="O447">
        <f>IFERROR(__xludf.DUMMYFUNCTION("""COMPUTED_VALUE"""),1250.0)</f>
        <v>1250</v>
      </c>
    </row>
    <row r="448">
      <c r="A448">
        <f>IFERROR(__xludf.DUMMYFUNCTION("""COMPUTED_VALUE"""),40.666348)</f>
        <v>40.666348</v>
      </c>
      <c r="B448">
        <f>IFERROR(__xludf.DUMMYFUNCTION("""COMPUTED_VALUE"""),16.609652)</f>
        <v>16.609652</v>
      </c>
      <c r="C448" t="str">
        <f>IFERROR(__xludf.DUMMYFUNCTION("""COMPUTED_VALUE"""),"Casa Vacanza")</f>
        <v>Casa Vacanza</v>
      </c>
      <c r="D448" t="str">
        <f>IFERROR(__xludf.DUMMYFUNCTION("""COMPUTED_VALUE"""),"L'EREMO DEL CARDINALE")</f>
        <v>L'EREMO DEL CARDINALE</v>
      </c>
      <c r="E448" t="str">
        <f>IFERROR(__xludf.DUMMYFUNCTION("""COMPUTED_VALUE"""),"CARDINALE TIZIANA")</f>
        <v>CARDINALE TIZIANA</v>
      </c>
      <c r="F448" t="str">
        <f>IFERROR(__xludf.DUMMYFUNCTION("""COMPUTED_VALUE"""),"RECINTO SECONDO PARADISO 22")</f>
        <v>RECINTO SECONDO PARADISO 22</v>
      </c>
      <c r="G448" t="str">
        <f>IFERROR(__xludf.DUMMYFUNCTION("""COMPUTED_VALUE"""),"Matera")</f>
        <v>Matera</v>
      </c>
      <c r="H448" t="str">
        <f>IFERROR(__xludf.DUMMYFUNCTION("""COMPUTED_VALUE"""),"Italy")</f>
        <v>Italy</v>
      </c>
      <c r="I448">
        <f>IFERROR(__xludf.DUMMYFUNCTION("""COMPUTED_VALUE"""),758.0)</f>
        <v>758</v>
      </c>
      <c r="J448">
        <f>IFERROR(__xludf.DUMMYFUNCTION("""COMPUTED_VALUE"""),1.0)</f>
        <v>1</v>
      </c>
      <c r="K448">
        <f>IFERROR(__xludf.DUMMYFUNCTION("""COMPUTED_VALUE"""),159.0)</f>
        <v>159</v>
      </c>
      <c r="L448" t="str">
        <f>IFERROR(__xludf.DUMMYFUNCTION("""COMPUTED_VALUE"""),"CRDTZN85C43A662U")</f>
        <v>CRDTZN85C43A662U</v>
      </c>
      <c r="M448">
        <f>IFERROR(__xludf.DUMMYFUNCTION("""COMPUTED_VALUE"""),4.0)</f>
        <v>4</v>
      </c>
      <c r="N448">
        <f>IFERROR(__xludf.DUMMYFUNCTION("""COMPUTED_VALUE"""),43388.0)</f>
        <v>43388</v>
      </c>
      <c r="O448">
        <f>IFERROR(__xludf.DUMMYFUNCTION("""COMPUTED_VALUE"""),1817.0)</f>
        <v>1817</v>
      </c>
    </row>
    <row r="449">
      <c r="A449">
        <f>IFERROR(__xludf.DUMMYFUNCTION("""COMPUTED_VALUE"""),40.66867)</f>
        <v>40.66867</v>
      </c>
      <c r="B449">
        <f>IFERROR(__xludf.DUMMYFUNCTION("""COMPUTED_VALUE"""),16.610076)</f>
        <v>16.610076</v>
      </c>
      <c r="C449" t="str">
        <f>IFERROR(__xludf.DUMMYFUNCTION("""COMPUTED_VALUE"""),"Casa Vacanza")</f>
        <v>Casa Vacanza</v>
      </c>
      <c r="D449" t="str">
        <f>IFERROR(__xludf.DUMMYFUNCTION("""COMPUTED_VALUE"""),"LA BOMBONIERA NEI SASSI")</f>
        <v>LA BOMBONIERA NEI SASSI</v>
      </c>
      <c r="E449" t="str">
        <f>IFERROR(__xludf.DUMMYFUNCTION("""COMPUTED_VALUE"""),"HAPPY APARTMENTS DI CASTRIA GIUSEPPE")</f>
        <v>HAPPY APARTMENTS DI CASTRIA GIUSEPPE</v>
      </c>
      <c r="F449" t="str">
        <f>IFERROR(__xludf.DUMMYFUNCTION("""COMPUTED_VALUE"""),"PIAZZA GARIBALDI 19/20")</f>
        <v>PIAZZA GARIBALDI 19/20</v>
      </c>
      <c r="G449" t="str">
        <f>IFERROR(__xludf.DUMMYFUNCTION("""COMPUTED_VALUE"""),"Matera")</f>
        <v>Matera</v>
      </c>
      <c r="H449" t="str">
        <f>IFERROR(__xludf.DUMMYFUNCTION("""COMPUTED_VALUE"""),"Italy")</f>
        <v>Italy</v>
      </c>
      <c r="I449">
        <f>IFERROR(__xludf.DUMMYFUNCTION("""COMPUTED_VALUE"""),1009.0)</f>
        <v>1009</v>
      </c>
      <c r="J449">
        <f>IFERROR(__xludf.DUMMYFUNCTION("""COMPUTED_VALUE"""),3.0)</f>
        <v>3</v>
      </c>
      <c r="K449">
        <f>IFERROR(__xludf.DUMMYFUNCTION("""COMPUTED_VALUE"""),159.0)</f>
        <v>159</v>
      </c>
      <c r="L449" t="str">
        <f>IFERROR(__xludf.DUMMYFUNCTION("""COMPUTED_VALUE"""),"CSTGPP83B18L049K")</f>
        <v>CSTGPP83B18L049K</v>
      </c>
      <c r="M449">
        <f>IFERROR(__xludf.DUMMYFUNCTION("""COMPUTED_VALUE"""),2.0)</f>
        <v>2</v>
      </c>
      <c r="N449">
        <f>IFERROR(__xludf.DUMMYFUNCTION("""COMPUTED_VALUE"""),43423.0)</f>
        <v>43423</v>
      </c>
      <c r="O449">
        <f>IFERROR(__xludf.DUMMYFUNCTION("""COMPUTED_VALUE"""),1212.0)</f>
        <v>1212</v>
      </c>
    </row>
    <row r="450">
      <c r="A450">
        <f>IFERROR(__xludf.DUMMYFUNCTION("""COMPUTED_VALUE"""),40.660409)</f>
        <v>40.660409</v>
      </c>
      <c r="B450">
        <f>IFERROR(__xludf.DUMMYFUNCTION("""COMPUTED_VALUE"""),16.608681)</f>
        <v>16.608681</v>
      </c>
      <c r="C450" t="str">
        <f>IFERROR(__xludf.DUMMYFUNCTION("""COMPUTED_VALUE"""),"Casa Vacanza")</f>
        <v>Casa Vacanza</v>
      </c>
      <c r="D450" t="str">
        <f>IFERROR(__xludf.DUMMYFUNCTION("""COMPUTED_VALUE"""),"IL CORTILETTO")</f>
        <v>IL CORTILETTO</v>
      </c>
      <c r="E450" t="str">
        <f>IFERROR(__xludf.DUMMYFUNCTION("""COMPUTED_VALUE"""),"TOSTO ANTONELLO")</f>
        <v>TOSTO ANTONELLO</v>
      </c>
      <c r="F450" t="str">
        <f>IFERROR(__xludf.DUMMYFUNCTION("""COMPUTED_VALUE"""),"VIA CHIANCALATA 62")</f>
        <v>VIA CHIANCALATA 62</v>
      </c>
      <c r="G450" t="str">
        <f>IFERROR(__xludf.DUMMYFUNCTION("""COMPUTED_VALUE"""),"Matera")</f>
        <v>Matera</v>
      </c>
      <c r="H450" t="str">
        <f>IFERROR(__xludf.DUMMYFUNCTION("""COMPUTED_VALUE"""),"Italy")</f>
        <v>Italy</v>
      </c>
      <c r="I450">
        <f>IFERROR(__xludf.DUMMYFUNCTION("""COMPUTED_VALUE"""),561.0)</f>
        <v>561</v>
      </c>
      <c r="J450">
        <f>IFERROR(__xludf.DUMMYFUNCTION("""COMPUTED_VALUE"""),16.0)</f>
        <v>16</v>
      </c>
      <c r="K450">
        <f>IFERROR(__xludf.DUMMYFUNCTION("""COMPUTED_VALUE"""),103.0)</f>
        <v>103</v>
      </c>
      <c r="L450" t="str">
        <f>IFERROR(__xludf.DUMMYFUNCTION("""COMPUTED_VALUE"""),"TSTNNL88S30A048B")</f>
        <v>TSTNNL88S30A048B</v>
      </c>
      <c r="M450">
        <f>IFERROR(__xludf.DUMMYFUNCTION("""COMPUTED_VALUE"""),3.0)</f>
        <v>3</v>
      </c>
      <c r="N450">
        <f>IFERROR(__xludf.DUMMYFUNCTION("""COMPUTED_VALUE"""),43430.0)</f>
        <v>43430</v>
      </c>
      <c r="O450">
        <f>IFERROR(__xludf.DUMMYFUNCTION("""COMPUTED_VALUE"""),2349.0)</f>
        <v>2349</v>
      </c>
    </row>
    <row r="451">
      <c r="A451">
        <f>IFERROR(__xludf.DUMMYFUNCTION("""COMPUTED_VALUE"""),40.668858)</f>
        <v>40.668858</v>
      </c>
      <c r="B451">
        <f>IFERROR(__xludf.DUMMYFUNCTION("""COMPUTED_VALUE"""),16.604618)</f>
        <v>16.604618</v>
      </c>
      <c r="C451" t="str">
        <f>IFERROR(__xludf.DUMMYFUNCTION("""COMPUTED_VALUE"""),"Casa Vacanza")</f>
        <v>Casa Vacanza</v>
      </c>
      <c r="D451" t="str">
        <f>IFERROR(__xludf.DUMMYFUNCTION("""COMPUTED_VALUE"""),"LE DIMORE DELLA LUNA")</f>
        <v>LE DIMORE DELLA LUNA</v>
      </c>
      <c r="E451" t="str">
        <f>IFERROR(__xludf.DUMMYFUNCTION("""COMPUTED_VALUE"""),"SALIANI GIOVANNI")</f>
        <v>SALIANI GIOVANNI</v>
      </c>
      <c r="F451" t="str">
        <f>IFERROR(__xludf.DUMMYFUNCTION("""COMPUTED_VALUE"""),"VIA LUPO PROTOSPATA 28/30")</f>
        <v>VIA LUPO PROTOSPATA 28/30</v>
      </c>
      <c r="G451" t="str">
        <f>IFERROR(__xludf.DUMMYFUNCTION("""COMPUTED_VALUE"""),"Matera")</f>
        <v>Matera</v>
      </c>
      <c r="H451" t="str">
        <f>IFERROR(__xludf.DUMMYFUNCTION("""COMPUTED_VALUE"""),"Italy")</f>
        <v>Italy</v>
      </c>
      <c r="I451">
        <f>IFERROR(__xludf.DUMMYFUNCTION("""COMPUTED_VALUE"""),2763.0)</f>
        <v>2763</v>
      </c>
      <c r="J451">
        <f>IFERROR(__xludf.DUMMYFUNCTION("""COMPUTED_VALUE"""),8.0)</f>
        <v>8</v>
      </c>
      <c r="K451">
        <f>IFERROR(__xludf.DUMMYFUNCTION("""COMPUTED_VALUE"""),159.0)</f>
        <v>159</v>
      </c>
      <c r="L451" t="str">
        <f>IFERROR(__xludf.DUMMYFUNCTION("""COMPUTED_VALUE"""),"SLNGNN67B25F052F")</f>
        <v>SLNGNN67B25F052F</v>
      </c>
      <c r="M451">
        <f>IFERROR(__xludf.DUMMYFUNCTION("""COMPUTED_VALUE"""),5.0)</f>
        <v>5</v>
      </c>
      <c r="N451">
        <f>IFERROR(__xludf.DUMMYFUNCTION("""COMPUTED_VALUE"""),43431.0)</f>
        <v>43431</v>
      </c>
      <c r="O451">
        <f>IFERROR(__xludf.DUMMYFUNCTION("""COMPUTED_VALUE"""),1941.0)</f>
        <v>1941</v>
      </c>
    </row>
    <row r="452">
      <c r="A452">
        <f>IFERROR(__xludf.DUMMYFUNCTION("""COMPUTED_VALUE"""),40.656633)</f>
        <v>40.656633</v>
      </c>
      <c r="B452">
        <f>IFERROR(__xludf.DUMMYFUNCTION("""COMPUTED_VALUE"""),16.616513)</f>
        <v>16.616513</v>
      </c>
      <c r="C452" t="str">
        <f>IFERROR(__xludf.DUMMYFUNCTION("""COMPUTED_VALUE"""),"Casa Vacanza")</f>
        <v>Casa Vacanza</v>
      </c>
      <c r="D452" t="str">
        <f>IFERROR(__xludf.DUMMYFUNCTION("""COMPUTED_VALUE"""),"LA TERRAZZA")</f>
        <v>LA TERRAZZA</v>
      </c>
      <c r="E452" t="str">
        <f>IFERROR(__xludf.DUMMYFUNCTION("""COMPUTED_VALUE"""),"ELEONORA TASSIELLO")</f>
        <v>ELEONORA TASSIELLO</v>
      </c>
      <c r="F452" t="str">
        <f>IFERROR(__xludf.DUMMYFUNCTION("""COMPUTED_VALUE"""),"VIA CASALNUOVO 305 BIS")</f>
        <v>VIA CASALNUOVO 305 BIS</v>
      </c>
      <c r="G452" t="str">
        <f>IFERROR(__xludf.DUMMYFUNCTION("""COMPUTED_VALUE"""),"Matera")</f>
        <v>Matera</v>
      </c>
      <c r="H452" t="str">
        <f>IFERROR(__xludf.DUMMYFUNCTION("""COMPUTED_VALUE"""),"Italy")</f>
        <v>Italy</v>
      </c>
      <c r="I452">
        <f>IFERROR(__xludf.DUMMYFUNCTION("""COMPUTED_VALUE"""),59.0)</f>
        <v>59</v>
      </c>
      <c r="J452">
        <f>IFERROR(__xludf.DUMMYFUNCTION("""COMPUTED_VALUE"""),6.0)</f>
        <v>6</v>
      </c>
      <c r="K452">
        <f>IFERROR(__xludf.DUMMYFUNCTION("""COMPUTED_VALUE"""),105.0)</f>
        <v>105</v>
      </c>
      <c r="L452" t="str">
        <f>IFERROR(__xludf.DUMMYFUNCTION("""COMPUTED_VALUE"""),"TSSLNR86C70F052Q")</f>
        <v>TSSLNR86C70F052Q</v>
      </c>
      <c r="M452">
        <f>IFERROR(__xludf.DUMMYFUNCTION("""COMPUTED_VALUE"""),2.0)</f>
        <v>2</v>
      </c>
      <c r="N452">
        <f>IFERROR(__xludf.DUMMYFUNCTION("""COMPUTED_VALUE"""),43433.0)</f>
        <v>43433</v>
      </c>
      <c r="O452">
        <f>IFERROR(__xludf.DUMMYFUNCTION("""COMPUTED_VALUE"""),1122.0)</f>
        <v>1122</v>
      </c>
    </row>
    <row r="453">
      <c r="A453">
        <f>IFERROR(__xludf.DUMMYFUNCTION("""COMPUTED_VALUE"""),40.666011)</f>
        <v>40.666011</v>
      </c>
      <c r="B453">
        <f>IFERROR(__xludf.DUMMYFUNCTION("""COMPUTED_VALUE"""),16.611541)</f>
        <v>16.611541</v>
      </c>
      <c r="C453" t="str">
        <f>IFERROR(__xludf.DUMMYFUNCTION("""COMPUTED_VALUE"""),"Casa Vacanza")</f>
        <v>Casa Vacanza</v>
      </c>
      <c r="D453" t="str">
        <f>IFERROR(__xludf.DUMMYFUNCTION("""COMPUTED_VALUE"""),"DOMUS CIVITA")</f>
        <v>DOMUS CIVITA</v>
      </c>
      <c r="E453" t="str">
        <f>IFERROR(__xludf.DUMMYFUNCTION("""COMPUTED_VALUE"""),"CALIA MARIA VINCENZA")</f>
        <v>CALIA MARIA VINCENZA</v>
      </c>
      <c r="F453" t="str">
        <f>IFERROR(__xludf.DUMMYFUNCTION("""COMPUTED_VALUE"""),"VIA MURO 56 B")</f>
        <v>VIA MURO 56 B</v>
      </c>
      <c r="G453" t="str">
        <f>IFERROR(__xludf.DUMMYFUNCTION("""COMPUTED_VALUE"""),"Matera")</f>
        <v>Matera</v>
      </c>
      <c r="H453" t="str">
        <f>IFERROR(__xludf.DUMMYFUNCTION("""COMPUTED_VALUE"""),"Italy")</f>
        <v>Italy</v>
      </c>
      <c r="I453">
        <f>IFERROR(__xludf.DUMMYFUNCTION("""COMPUTED_VALUE"""),1427.0)</f>
        <v>1427</v>
      </c>
      <c r="J453">
        <f>IFERROR(__xludf.DUMMYFUNCTION("""COMPUTED_VALUE"""),1.0)</f>
        <v>1</v>
      </c>
      <c r="K453">
        <f>IFERROR(__xludf.DUMMYFUNCTION("""COMPUTED_VALUE"""),159.0)</f>
        <v>159</v>
      </c>
      <c r="L453" t="str">
        <f>IFERROR(__xludf.DUMMYFUNCTION("""COMPUTED_VALUE"""),"CLAMVN48P59F052K")</f>
        <v>CLAMVN48P59F052K</v>
      </c>
      <c r="M453">
        <f>IFERROR(__xludf.DUMMYFUNCTION("""COMPUTED_VALUE"""),4.0)</f>
        <v>4</v>
      </c>
      <c r="N453">
        <f>IFERROR(__xludf.DUMMYFUNCTION("""COMPUTED_VALUE"""),43434.0)</f>
        <v>43434</v>
      </c>
      <c r="O453" t="str">
        <f>IFERROR(__xludf.DUMMYFUNCTION("""COMPUTED_VALUE"""),"")</f>
        <v/>
      </c>
    </row>
    <row r="454">
      <c r="A454">
        <f>IFERROR(__xludf.DUMMYFUNCTION("""COMPUTED_VALUE"""),40.667816)</f>
        <v>40.667816</v>
      </c>
      <c r="B454">
        <f>IFERROR(__xludf.DUMMYFUNCTION("""COMPUTED_VALUE"""),16.609123)</f>
        <v>16.609123</v>
      </c>
      <c r="C454" t="str">
        <f>IFERROR(__xludf.DUMMYFUNCTION("""COMPUTED_VALUE"""),"Casa Vacanza")</f>
        <v>Casa Vacanza</v>
      </c>
      <c r="D454" t="str">
        <f>IFERROR(__xludf.DUMMYFUNCTION("""COMPUTED_VALUE"""),"CASA CORTE SAN ROCCO")</f>
        <v>CASA CORTE SAN ROCCO</v>
      </c>
      <c r="E454" t="str">
        <f>IFERROR(__xludf.DUMMYFUNCTION("""COMPUTED_VALUE"""),"LIONETTI FRANCESCO")</f>
        <v>LIONETTI FRANCESCO</v>
      </c>
      <c r="F454" t="str">
        <f>IFERROR(__xludf.DUMMYFUNCTION("""COMPUTED_VALUE"""),"VIA SAN ROCCO 88-89")</f>
        <v>VIA SAN ROCCO 88-89</v>
      </c>
      <c r="G454" t="str">
        <f>IFERROR(__xludf.DUMMYFUNCTION("""COMPUTED_VALUE"""),"Matera")</f>
        <v>Matera</v>
      </c>
      <c r="H454" t="str">
        <f>IFERROR(__xludf.DUMMYFUNCTION("""COMPUTED_VALUE"""),"Italy")</f>
        <v>Italy</v>
      </c>
      <c r="I454">
        <f>IFERROR(__xludf.DUMMYFUNCTION("""COMPUTED_VALUE"""),344.0)</f>
        <v>344</v>
      </c>
      <c r="J454">
        <f>IFERROR(__xludf.DUMMYFUNCTION("""COMPUTED_VALUE"""),6.0)</f>
        <v>6</v>
      </c>
      <c r="K454">
        <f>IFERROR(__xludf.DUMMYFUNCTION("""COMPUTED_VALUE"""),159.0)</f>
        <v>159</v>
      </c>
      <c r="L454" t="str">
        <f>IFERROR(__xludf.DUMMYFUNCTION("""COMPUTED_VALUE"""),"LNTFNC75R07A285B")</f>
        <v>LNTFNC75R07A285B</v>
      </c>
      <c r="M454">
        <f>IFERROR(__xludf.DUMMYFUNCTION("""COMPUTED_VALUE"""),6.0)</f>
        <v>6</v>
      </c>
      <c r="N454">
        <f>IFERROR(__xludf.DUMMYFUNCTION("""COMPUTED_VALUE"""),43440.0)</f>
        <v>43440</v>
      </c>
      <c r="O454">
        <f>IFERROR(__xludf.DUMMYFUNCTION("""COMPUTED_VALUE"""),1807.0)</f>
        <v>1807</v>
      </c>
    </row>
    <row r="455">
      <c r="A455">
        <f>IFERROR(__xludf.DUMMYFUNCTION("""COMPUTED_VALUE"""),40.667435)</f>
        <v>40.667435</v>
      </c>
      <c r="B455">
        <f>IFERROR(__xludf.DUMMYFUNCTION("""COMPUTED_VALUE"""),16.605889)</f>
        <v>16.605889</v>
      </c>
      <c r="C455" t="str">
        <f>IFERROR(__xludf.DUMMYFUNCTION("""COMPUTED_VALUE"""),"Casa Vacanza")</f>
        <v>Casa Vacanza</v>
      </c>
      <c r="D455" t="str">
        <f>IFERROR(__xludf.DUMMYFUNCTION("""COMPUTED_VALUE"""),"THE SUPERCENTRAL HOUSE A")</f>
        <v>THE SUPERCENTRAL HOUSE A</v>
      </c>
      <c r="E455" t="str">
        <f>IFERROR(__xludf.DUMMYFUNCTION("""COMPUTED_VALUE"""),"LINGUITI GAETANO")</f>
        <v>LINGUITI GAETANO</v>
      </c>
      <c r="F455" t="str">
        <f>IFERROR(__xludf.DUMMYFUNCTION("""COMPUTED_VALUE"""),"VIA XX SETTEMBRE 3")</f>
        <v>VIA XX SETTEMBRE 3</v>
      </c>
      <c r="G455" t="str">
        <f>IFERROR(__xludf.DUMMYFUNCTION("""COMPUTED_VALUE"""),"Matera")</f>
        <v>Matera</v>
      </c>
      <c r="H455" t="str">
        <f>IFERROR(__xludf.DUMMYFUNCTION("""COMPUTED_VALUE"""),"Italy")</f>
        <v>Italy</v>
      </c>
      <c r="I455">
        <f>IFERROR(__xludf.DUMMYFUNCTION("""COMPUTED_VALUE"""),2712.0)</f>
        <v>2712</v>
      </c>
      <c r="J455">
        <f>IFERROR(__xludf.DUMMYFUNCTION("""COMPUTED_VALUE"""),31.0)</f>
        <v>31</v>
      </c>
      <c r="K455">
        <f>IFERROR(__xludf.DUMMYFUNCTION("""COMPUTED_VALUE"""),159.0)</f>
        <v>159</v>
      </c>
      <c r="L455" t="str">
        <f>IFERROR(__xludf.DUMMYFUNCTION("""COMPUTED_VALUE"""),"LNGGTN40L24F052B")</f>
        <v>LNGGTN40L24F052B</v>
      </c>
      <c r="M455">
        <f>IFERROR(__xludf.DUMMYFUNCTION("""COMPUTED_VALUE"""),3.0)</f>
        <v>3</v>
      </c>
      <c r="N455">
        <f>IFERROR(__xludf.DUMMYFUNCTION("""COMPUTED_VALUE"""),43484.0)</f>
        <v>43484</v>
      </c>
      <c r="O455">
        <f>IFERROR(__xludf.DUMMYFUNCTION("""COMPUTED_VALUE"""),943.0)</f>
        <v>943</v>
      </c>
    </row>
    <row r="456">
      <c r="A456">
        <f>IFERROR(__xludf.DUMMYFUNCTION("""COMPUTED_VALUE"""),40.670945)</f>
        <v>40.670945</v>
      </c>
      <c r="B456">
        <f>IFERROR(__xludf.DUMMYFUNCTION("""COMPUTED_VALUE"""),16.606379)</f>
        <v>16.606379</v>
      </c>
      <c r="C456" t="str">
        <f>IFERROR(__xludf.DUMMYFUNCTION("""COMPUTED_VALUE"""),"Casa Vacanza")</f>
        <v>Casa Vacanza</v>
      </c>
      <c r="D456" t="str">
        <f>IFERROR(__xludf.DUMMYFUNCTION("""COMPUTED_VALUE"""),"CASETTA GATTINI")</f>
        <v>CASETTA GATTINI</v>
      </c>
      <c r="E456" t="str">
        <f>IFERROR(__xludf.DUMMYFUNCTION("""COMPUTED_VALUE"""),"SCHIUMA MAURIZIO")</f>
        <v>SCHIUMA MAURIZIO</v>
      </c>
      <c r="F456" t="str">
        <f>IFERROR(__xludf.DUMMYFUNCTION("""COMPUTED_VALUE"""),"VIA GIUSEPPE GATTINI 13")</f>
        <v>VIA GIUSEPPE GATTINI 13</v>
      </c>
      <c r="G456" t="str">
        <f>IFERROR(__xludf.DUMMYFUNCTION("""COMPUTED_VALUE"""),"Matera")</f>
        <v>Matera</v>
      </c>
      <c r="H456" t="str">
        <f>IFERROR(__xludf.DUMMYFUNCTION("""COMPUTED_VALUE"""),"Italy")</f>
        <v>Italy</v>
      </c>
      <c r="I456">
        <f>IFERROR(__xludf.DUMMYFUNCTION("""COMPUTED_VALUE"""),3673.0)</f>
        <v>3673</v>
      </c>
      <c r="J456">
        <f>IFERROR(__xludf.DUMMYFUNCTION("""COMPUTED_VALUE"""),14.0)</f>
        <v>14</v>
      </c>
      <c r="K456">
        <f>IFERROR(__xludf.DUMMYFUNCTION("""COMPUTED_VALUE"""),159.0)</f>
        <v>159</v>
      </c>
      <c r="L456" t="str">
        <f>IFERROR(__xludf.DUMMYFUNCTION("""COMPUTED_VALUE"""),"SCHRZ71P22F052Q")</f>
        <v>SCHRZ71P22F052Q</v>
      </c>
      <c r="M456">
        <f>IFERROR(__xludf.DUMMYFUNCTION("""COMPUTED_VALUE"""),4.0)</f>
        <v>4</v>
      </c>
      <c r="N456">
        <f>IFERROR(__xludf.DUMMYFUNCTION("""COMPUTED_VALUE"""),43441.0)</f>
        <v>43441</v>
      </c>
      <c r="O456">
        <f>IFERROR(__xludf.DUMMYFUNCTION("""COMPUTED_VALUE"""),1726.0)</f>
        <v>1726</v>
      </c>
    </row>
    <row r="457">
      <c r="A457">
        <f>IFERROR(__xludf.DUMMYFUNCTION("""COMPUTED_VALUE"""),40.664648)</f>
        <v>40.664648</v>
      </c>
      <c r="B457">
        <f>IFERROR(__xludf.DUMMYFUNCTION("""COMPUTED_VALUE"""),16.600225)</f>
        <v>16.600225</v>
      </c>
      <c r="C457" t="str">
        <f>IFERROR(__xludf.DUMMYFUNCTION("""COMPUTED_VALUE"""),"Casa Vacanza")</f>
        <v>Casa Vacanza</v>
      </c>
      <c r="D457" t="str">
        <f>IFERROR(__xludf.DUMMYFUNCTION("""COMPUTED_VALUE"""),"CASA VACANZA LA CASETTA")</f>
        <v>CASA VACANZA LA CASETTA</v>
      </c>
      <c r="E457" t="str">
        <f>IFERROR(__xludf.DUMMYFUNCTION("""COMPUTED_VALUE"""),"GIORDANO MADDALENA")</f>
        <v>GIORDANO MADDALENA</v>
      </c>
      <c r="F457" t="str">
        <f>IFERROR(__xludf.DUMMYFUNCTION("""COMPUTED_VALUE"""),"VIA CAPPELLUTI 53")</f>
        <v>VIA CAPPELLUTI 53</v>
      </c>
      <c r="G457" t="str">
        <f>IFERROR(__xludf.DUMMYFUNCTION("""COMPUTED_VALUE"""),"Matera")</f>
        <v>Matera</v>
      </c>
      <c r="H457" t="str">
        <f>IFERROR(__xludf.DUMMYFUNCTION("""COMPUTED_VALUE"""),"Italy")</f>
        <v>Italy</v>
      </c>
      <c r="I457">
        <f>IFERROR(__xludf.DUMMYFUNCTION("""COMPUTED_VALUE"""),449.0)</f>
        <v>449</v>
      </c>
      <c r="J457">
        <f>IFERROR(__xludf.DUMMYFUNCTION("""COMPUTED_VALUE"""),10.0)</f>
        <v>10</v>
      </c>
      <c r="K457">
        <f>IFERROR(__xludf.DUMMYFUNCTION("""COMPUTED_VALUE"""),71.0)</f>
        <v>71</v>
      </c>
      <c r="L457" t="str">
        <f>IFERROR(__xludf.DUMMYFUNCTION("""COMPUTED_VALUE"""),"GRDMDL92P55F052Z")</f>
        <v>GRDMDL92P55F052Z</v>
      </c>
      <c r="M457">
        <f>IFERROR(__xludf.DUMMYFUNCTION("""COMPUTED_VALUE"""),4.0)</f>
        <v>4</v>
      </c>
      <c r="N457">
        <f>IFERROR(__xludf.DUMMYFUNCTION("""COMPUTED_VALUE"""),43445.0)</f>
        <v>43445</v>
      </c>
      <c r="O457" t="str">
        <f>IFERROR(__xludf.DUMMYFUNCTION("""COMPUTED_VALUE"""),"")</f>
        <v/>
      </c>
    </row>
    <row r="458">
      <c r="A458">
        <f>IFERROR(__xludf.DUMMYFUNCTION("""COMPUTED_VALUE"""),40.668981)</f>
        <v>40.668981</v>
      </c>
      <c r="B458">
        <f>IFERROR(__xludf.DUMMYFUNCTION("""COMPUTED_VALUE"""),16.608012)</f>
        <v>16.608012</v>
      </c>
      <c r="C458" t="str">
        <f>IFERROR(__xludf.DUMMYFUNCTION("""COMPUTED_VALUE"""),"Casa Vacanza")</f>
        <v>Casa Vacanza</v>
      </c>
      <c r="D458" t="str">
        <f>IFERROR(__xludf.DUMMYFUNCTION("""COMPUTED_VALUE"""),"UI'MOMM")</f>
        <v>UI'MOMM</v>
      </c>
      <c r="E458" t="str">
        <f>IFERROR(__xludf.DUMMYFUNCTION("""COMPUTED_VALUE"""),"TARATUFOLO GIUSEPPE")</f>
        <v>TARATUFOLO GIUSEPPE</v>
      </c>
      <c r="F458" t="str">
        <f>IFERROR(__xludf.DUMMYFUNCTION("""COMPUTED_VALUE"""),"VIA TOMMASO STIGLIANI 24")</f>
        <v>VIA TOMMASO STIGLIANI 24</v>
      </c>
      <c r="G458" t="str">
        <f>IFERROR(__xludf.DUMMYFUNCTION("""COMPUTED_VALUE"""),"Matera")</f>
        <v>Matera</v>
      </c>
      <c r="H458" t="str">
        <f>IFERROR(__xludf.DUMMYFUNCTION("""COMPUTED_VALUE"""),"Italy")</f>
        <v>Italy</v>
      </c>
      <c r="I458">
        <f>IFERROR(__xludf.DUMMYFUNCTION("""COMPUTED_VALUE"""),2899.0)</f>
        <v>2899</v>
      </c>
      <c r="J458" t="str">
        <f>IFERROR(__xludf.DUMMYFUNCTION("""COMPUTED_VALUE"""),"")</f>
        <v/>
      </c>
      <c r="K458">
        <f>IFERROR(__xludf.DUMMYFUNCTION("""COMPUTED_VALUE"""),159.0)</f>
        <v>159</v>
      </c>
      <c r="L458" t="str">
        <f>IFERROR(__xludf.DUMMYFUNCTION("""COMPUTED_VALUE"""),"TRTGPP48E10F052J")</f>
        <v>TRTGPP48E10F052J</v>
      </c>
      <c r="M458">
        <f>IFERROR(__xludf.DUMMYFUNCTION("""COMPUTED_VALUE"""),3.0)</f>
        <v>3</v>
      </c>
      <c r="N458">
        <f>IFERROR(__xludf.DUMMYFUNCTION("""COMPUTED_VALUE"""),43434.0)</f>
        <v>43434</v>
      </c>
      <c r="O458">
        <f>IFERROR(__xludf.DUMMYFUNCTION("""COMPUTED_VALUE"""),1830.0)</f>
        <v>1830</v>
      </c>
    </row>
    <row r="459">
      <c r="A459">
        <f>IFERROR(__xludf.DUMMYFUNCTION("""COMPUTED_VALUE"""),40.666394)</f>
        <v>40.666394</v>
      </c>
      <c r="B459">
        <f>IFERROR(__xludf.DUMMYFUNCTION("""COMPUTED_VALUE"""),16.604946)</f>
        <v>16.604946</v>
      </c>
      <c r="C459" t="str">
        <f>IFERROR(__xludf.DUMMYFUNCTION("""COMPUTED_VALUE"""),"Casa Vacanza")</f>
        <v>Casa Vacanza</v>
      </c>
      <c r="D459" t="str">
        <f>IFERROR(__xludf.DUMMYFUNCTION("""COMPUTED_VALUE"""),"CASETTA PANORAMICA")</f>
        <v>CASETTA PANORAMICA</v>
      </c>
      <c r="E459" t="str">
        <f>IFERROR(__xludf.DUMMYFUNCTION("""COMPUTED_VALUE"""),"DITARANTO PIETRO")</f>
        <v>DITARANTO PIETRO</v>
      </c>
      <c r="F459" t="str">
        <f>IFERROR(__xludf.DUMMYFUNCTION("""COMPUTED_VALUE"""),"VIA ASCANIO PERSIO 38")</f>
        <v>VIA ASCANIO PERSIO 38</v>
      </c>
      <c r="G459" t="str">
        <f>IFERROR(__xludf.DUMMYFUNCTION("""COMPUTED_VALUE"""),"Matera")</f>
        <v>Matera</v>
      </c>
      <c r="H459" t="str">
        <f>IFERROR(__xludf.DUMMYFUNCTION("""COMPUTED_VALUE"""),"Italy")</f>
        <v>Italy</v>
      </c>
      <c r="I459">
        <f>IFERROR(__xludf.DUMMYFUNCTION("""COMPUTED_VALUE"""),3028.0)</f>
        <v>3028</v>
      </c>
      <c r="J459">
        <f>IFERROR(__xludf.DUMMYFUNCTION("""COMPUTED_VALUE"""),15.0)</f>
        <v>15</v>
      </c>
      <c r="K459">
        <f>IFERROR(__xludf.DUMMYFUNCTION("""COMPUTED_VALUE"""),159.0)</f>
        <v>159</v>
      </c>
      <c r="L459" t="str">
        <f>IFERROR(__xludf.DUMMYFUNCTION("""COMPUTED_VALUE"""),"DTRPTR61A13F637P")</f>
        <v>DTRPTR61A13F637P</v>
      </c>
      <c r="M459" t="str">
        <f>IFERROR(__xludf.DUMMYFUNCTION("""COMPUTED_VALUE"""),"")</f>
        <v/>
      </c>
      <c r="N459">
        <f>IFERROR(__xludf.DUMMYFUNCTION("""COMPUTED_VALUE"""),43448.0)</f>
        <v>43448</v>
      </c>
      <c r="O459" t="str">
        <f>IFERROR(__xludf.DUMMYFUNCTION("""COMPUTED_VALUE"""),"")</f>
        <v/>
      </c>
    </row>
    <row r="460">
      <c r="A460">
        <f>IFERROR(__xludf.DUMMYFUNCTION("""COMPUTED_VALUE"""),40.674656)</f>
        <v>40.674656</v>
      </c>
      <c r="B460">
        <f>IFERROR(__xludf.DUMMYFUNCTION("""COMPUTED_VALUE"""),16.599972)</f>
        <v>16.599972</v>
      </c>
      <c r="C460" t="str">
        <f>IFERROR(__xludf.DUMMYFUNCTION("""COMPUTED_VALUE"""),"Casa Vacanza")</f>
        <v>Casa Vacanza</v>
      </c>
      <c r="D460" t="str">
        <f>IFERROR(__xludf.DUMMYFUNCTION("""COMPUTED_VALUE"""),"SOLELUNA CASA VACANZE")</f>
        <v>SOLELUNA CASA VACANZE</v>
      </c>
      <c r="E460" t="str">
        <f>IFERROR(__xludf.DUMMYFUNCTION("""COMPUTED_VALUE"""),"DI CUIA IMMACOLATA")</f>
        <v>DI CUIA IMMACOLATA</v>
      </c>
      <c r="F460" t="str">
        <f>IFERROR(__xludf.DUMMYFUNCTION("""COMPUTED_VALUE"""),"VIA RAFFAELE SARRA 4")</f>
        <v>VIA RAFFAELE SARRA 4</v>
      </c>
      <c r="G460" t="str">
        <f>IFERROR(__xludf.DUMMYFUNCTION("""COMPUTED_VALUE"""),"Matera")</f>
        <v>Matera</v>
      </c>
      <c r="H460" t="str">
        <f>IFERROR(__xludf.DUMMYFUNCTION("""COMPUTED_VALUE"""),"Italy")</f>
        <v>Italy</v>
      </c>
      <c r="I460">
        <f>IFERROR(__xludf.DUMMYFUNCTION("""COMPUTED_VALUE"""),4795.0)</f>
        <v>4795</v>
      </c>
      <c r="J460">
        <f>IFERROR(__xludf.DUMMYFUNCTION("""COMPUTED_VALUE"""),8.0)</f>
        <v>8</v>
      </c>
      <c r="K460">
        <f>IFERROR(__xludf.DUMMYFUNCTION("""COMPUTED_VALUE"""),159.0)</f>
        <v>159</v>
      </c>
      <c r="L460" t="str">
        <f>IFERROR(__xludf.DUMMYFUNCTION("""COMPUTED_VALUE"""),"DCIMCL75C51F052A")</f>
        <v>DCIMCL75C51F052A</v>
      </c>
      <c r="M460">
        <f>IFERROR(__xludf.DUMMYFUNCTION("""COMPUTED_VALUE"""),4.0)</f>
        <v>4</v>
      </c>
      <c r="N460">
        <f>IFERROR(__xludf.DUMMYFUNCTION("""COMPUTED_VALUE"""),43448.0)</f>
        <v>43448</v>
      </c>
      <c r="O460">
        <f>IFERROR(__xludf.DUMMYFUNCTION("""COMPUTED_VALUE"""),1844.0)</f>
        <v>1844</v>
      </c>
    </row>
    <row r="461">
      <c r="A461">
        <f>IFERROR(__xludf.DUMMYFUNCTION("""COMPUTED_VALUE"""),40.673394)</f>
        <v>40.673394</v>
      </c>
      <c r="B461">
        <f>IFERROR(__xludf.DUMMYFUNCTION("""COMPUTED_VALUE"""),16.600587)</f>
        <v>16.600587</v>
      </c>
      <c r="C461" t="str">
        <f>IFERROR(__xludf.DUMMYFUNCTION("""COMPUTED_VALUE"""),"Casa Vacanza")</f>
        <v>Casa Vacanza</v>
      </c>
      <c r="D461" t="str">
        <f>IFERROR(__xludf.DUMMYFUNCTION("""COMPUTED_VALUE"""),"LA CASA DI ARIANNA")</f>
        <v>LA CASA DI ARIANNA</v>
      </c>
      <c r="E461" t="str">
        <f>IFERROR(__xludf.DUMMYFUNCTION("""COMPUTED_VALUE"""),"FIORE ARIANNA")</f>
        <v>FIORE ARIANNA</v>
      </c>
      <c r="F461" t="str">
        <f>IFERROR(__xludf.DUMMYFUNCTION("""COMPUTED_VALUE"""),"VIA NAZIONALE 50")</f>
        <v>VIA NAZIONALE 50</v>
      </c>
      <c r="G461" t="str">
        <f>IFERROR(__xludf.DUMMYFUNCTION("""COMPUTED_VALUE"""),"Matera")</f>
        <v>Matera</v>
      </c>
      <c r="H461" t="str">
        <f>IFERROR(__xludf.DUMMYFUNCTION("""COMPUTED_VALUE"""),"Italy")</f>
        <v>Italy</v>
      </c>
      <c r="I461">
        <f>IFERROR(__xludf.DUMMYFUNCTION("""COMPUTED_VALUE"""),4882.0)</f>
        <v>4882</v>
      </c>
      <c r="J461">
        <f>IFERROR(__xludf.DUMMYFUNCTION("""COMPUTED_VALUE"""),7.0)</f>
        <v>7</v>
      </c>
      <c r="K461">
        <f>IFERROR(__xludf.DUMMYFUNCTION("""COMPUTED_VALUE"""),159.0)</f>
        <v>159</v>
      </c>
      <c r="L461" t="str">
        <f>IFERROR(__xludf.DUMMYFUNCTION("""COMPUTED_VALUE"""),"FRIRNN00P60F052W")</f>
        <v>FRIRNN00P60F052W</v>
      </c>
      <c r="M461">
        <f>IFERROR(__xludf.DUMMYFUNCTION("""COMPUTED_VALUE"""),7.0)</f>
        <v>7</v>
      </c>
      <c r="N461">
        <f>IFERROR(__xludf.DUMMYFUNCTION("""COMPUTED_VALUE"""),43453.0)</f>
        <v>43453</v>
      </c>
      <c r="O461">
        <f>IFERROR(__xludf.DUMMYFUNCTION("""COMPUTED_VALUE"""),1730.0)</f>
        <v>1730</v>
      </c>
    </row>
    <row r="462">
      <c r="A462">
        <f>IFERROR(__xludf.DUMMYFUNCTION("""COMPUTED_VALUE"""),40.663661)</f>
        <v>40.663661</v>
      </c>
      <c r="B462">
        <f>IFERROR(__xludf.DUMMYFUNCTION("""COMPUTED_VALUE"""),16.610801)</f>
        <v>16.610801</v>
      </c>
      <c r="C462" t="str">
        <f>IFERROR(__xludf.DUMMYFUNCTION("""COMPUTED_VALUE"""),"Casa Vacanza")</f>
        <v>Casa Vacanza</v>
      </c>
      <c r="D462" t="str">
        <f>IFERROR(__xludf.DUMMYFUNCTION("""COMPUTED_VALUE"""),"DIVINUM")</f>
        <v>DIVINUM</v>
      </c>
      <c r="E462" t="str">
        <f>IFERROR(__xludf.DUMMYFUNCTION("""COMPUTED_VALUE"""),"RUSCIGNO DANIELA")</f>
        <v>RUSCIGNO DANIELA</v>
      </c>
      <c r="F462" t="str">
        <f>IFERROR(__xludf.DUMMYFUNCTION("""COMPUTED_VALUE"""),"VIA PURGATORIO VECCHIO 25")</f>
        <v>VIA PURGATORIO VECCHIO 25</v>
      </c>
      <c r="G462" t="str">
        <f>IFERROR(__xludf.DUMMYFUNCTION("""COMPUTED_VALUE"""),"Matera")</f>
        <v>Matera</v>
      </c>
      <c r="H462" t="str">
        <f>IFERROR(__xludf.DUMMYFUNCTION("""COMPUTED_VALUE"""),"Italy")</f>
        <v>Italy</v>
      </c>
      <c r="I462">
        <f>IFERROR(__xludf.DUMMYFUNCTION("""COMPUTED_VALUE"""),2090.0)</f>
        <v>2090</v>
      </c>
      <c r="J462">
        <f>IFERROR(__xludf.DUMMYFUNCTION("""COMPUTED_VALUE"""),5.0)</f>
        <v>5</v>
      </c>
      <c r="K462">
        <f>IFERROR(__xludf.DUMMYFUNCTION("""COMPUTED_VALUE"""),159.0)</f>
        <v>159</v>
      </c>
      <c r="L462" t="str">
        <f>IFERROR(__xludf.DUMMYFUNCTION("""COMPUTED_VALUE"""),"RSCDNL82B53F052K")</f>
        <v>RSCDNL82B53F052K</v>
      </c>
      <c r="M462">
        <f>IFERROR(__xludf.DUMMYFUNCTION("""COMPUTED_VALUE"""),3.0)</f>
        <v>3</v>
      </c>
      <c r="N462">
        <f>IFERROR(__xludf.DUMMYFUNCTION("""COMPUTED_VALUE"""),43454.0)</f>
        <v>43454</v>
      </c>
      <c r="O462">
        <f>IFERROR(__xludf.DUMMYFUNCTION("""COMPUTED_VALUE"""),1818.0)</f>
        <v>1818</v>
      </c>
    </row>
    <row r="463">
      <c r="A463">
        <f>IFERROR(__xludf.DUMMYFUNCTION("""COMPUTED_VALUE"""),40.674269)</f>
        <v>40.674269</v>
      </c>
      <c r="B463">
        <f>IFERROR(__xludf.DUMMYFUNCTION("""COMPUTED_VALUE"""),16.600978)</f>
        <v>16.600978</v>
      </c>
      <c r="C463" t="str">
        <f>IFERROR(__xludf.DUMMYFUNCTION("""COMPUTED_VALUE"""),"Casa Vacanza")</f>
        <v>Casa Vacanza</v>
      </c>
      <c r="D463" t="str">
        <f>IFERROR(__xludf.DUMMYFUNCTION("""COMPUTED_VALUE"""),"CIVICO 5")</f>
        <v>CIVICO 5</v>
      </c>
      <c r="E463" t="str">
        <f>IFERROR(__xludf.DUMMYFUNCTION("""COMPUTED_VALUE"""),"LATRONICO ANGELICA ANTONIA")</f>
        <v>LATRONICO ANGELICA ANTONIA</v>
      </c>
      <c r="F463" t="str">
        <f>IFERROR(__xludf.DUMMYFUNCTION("""COMPUTED_VALUE"""),"VIA LOMBARDIA 5")</f>
        <v>VIA LOMBARDIA 5</v>
      </c>
      <c r="G463" t="str">
        <f>IFERROR(__xludf.DUMMYFUNCTION("""COMPUTED_VALUE"""),"Matera")</f>
        <v>Matera</v>
      </c>
      <c r="H463" t="str">
        <f>IFERROR(__xludf.DUMMYFUNCTION("""COMPUTED_VALUE"""),"Italy")</f>
        <v>Italy</v>
      </c>
      <c r="I463">
        <f>IFERROR(__xludf.DUMMYFUNCTION("""COMPUTED_VALUE"""),4853.0)</f>
        <v>4853</v>
      </c>
      <c r="J463">
        <f>IFERROR(__xludf.DUMMYFUNCTION("""COMPUTED_VALUE"""),9.0)</f>
        <v>9</v>
      </c>
      <c r="K463">
        <f>IFERROR(__xludf.DUMMYFUNCTION("""COMPUTED_VALUE"""),159.0)</f>
        <v>159</v>
      </c>
      <c r="L463" t="str">
        <f>IFERROR(__xludf.DUMMYFUNCTION("""COMPUTED_VALUE"""),"LTRNLC79B46D547C")</f>
        <v>LTRNLC79B46D547C</v>
      </c>
      <c r="M463">
        <f>IFERROR(__xludf.DUMMYFUNCTION("""COMPUTED_VALUE"""),2.0)</f>
        <v>2</v>
      </c>
      <c r="N463">
        <f>IFERROR(__xludf.DUMMYFUNCTION("""COMPUTED_VALUE"""),43502.0)</f>
        <v>43502</v>
      </c>
      <c r="O463">
        <f>IFERROR(__xludf.DUMMYFUNCTION("""COMPUTED_VALUE"""),1914.0)</f>
        <v>1914</v>
      </c>
    </row>
    <row r="464">
      <c r="A464">
        <f>IFERROR(__xludf.DUMMYFUNCTION("""COMPUTED_VALUE"""),40.668885)</f>
        <v>40.668885</v>
      </c>
      <c r="B464">
        <f>IFERROR(__xludf.DUMMYFUNCTION("""COMPUTED_VALUE"""),16.604601)</f>
        <v>16.604601</v>
      </c>
      <c r="C464" t="str">
        <f>IFERROR(__xludf.DUMMYFUNCTION("""COMPUTED_VALUE"""),"Casa Vacanza")</f>
        <v>Casa Vacanza</v>
      </c>
      <c r="D464" t="str">
        <f>IFERROR(__xludf.DUMMYFUNCTION("""COMPUTED_VALUE"""),"LE DIMORE DELLA LUNA")</f>
        <v>LE DIMORE DELLA LUNA</v>
      </c>
      <c r="E464" t="str">
        <f>IFERROR(__xludf.DUMMYFUNCTION("""COMPUTED_VALUE"""),"SALIANI GIOVANNI")</f>
        <v>SALIANI GIOVANNI</v>
      </c>
      <c r="F464" t="str">
        <f>IFERROR(__xludf.DUMMYFUNCTION("""COMPUTED_VALUE"""),"VIA LUPO PROTOSPATA 28/30")</f>
        <v>VIA LUPO PROTOSPATA 28/30</v>
      </c>
      <c r="G464" t="str">
        <f>IFERROR(__xludf.DUMMYFUNCTION("""COMPUTED_VALUE"""),"Matera")</f>
        <v>Matera</v>
      </c>
      <c r="H464" t="str">
        <f>IFERROR(__xludf.DUMMYFUNCTION("""COMPUTED_VALUE"""),"Italy")</f>
        <v>Italy</v>
      </c>
      <c r="I464">
        <f>IFERROR(__xludf.DUMMYFUNCTION("""COMPUTED_VALUE"""),2763.0)</f>
        <v>2763</v>
      </c>
      <c r="J464">
        <f>IFERROR(__xludf.DUMMYFUNCTION("""COMPUTED_VALUE"""),8.0)</f>
        <v>8</v>
      </c>
      <c r="K464">
        <f>IFERROR(__xludf.DUMMYFUNCTION("""COMPUTED_VALUE"""),159.0)</f>
        <v>159</v>
      </c>
      <c r="L464" t="str">
        <f>IFERROR(__xludf.DUMMYFUNCTION("""COMPUTED_VALUE"""),"SLNGNN67B25F052F")</f>
        <v>SLNGNN67B25F052F</v>
      </c>
      <c r="M464">
        <f>IFERROR(__xludf.DUMMYFUNCTION("""COMPUTED_VALUE"""),5.0)</f>
        <v>5</v>
      </c>
      <c r="N464">
        <f>IFERROR(__xludf.DUMMYFUNCTION("""COMPUTED_VALUE"""),43431.0)</f>
        <v>43431</v>
      </c>
      <c r="O464">
        <f>IFERROR(__xludf.DUMMYFUNCTION("""COMPUTED_VALUE"""),1941.0)</f>
        <v>1941</v>
      </c>
    </row>
    <row r="465">
      <c r="A465">
        <f>IFERROR(__xludf.DUMMYFUNCTION("""COMPUTED_VALUE"""),40.65999)</f>
        <v>40.65999</v>
      </c>
      <c r="B465">
        <f>IFERROR(__xludf.DUMMYFUNCTION("""COMPUTED_VALUE"""),16.614618)</f>
        <v>16.614618</v>
      </c>
      <c r="C465" t="str">
        <f>IFERROR(__xludf.DUMMYFUNCTION("""COMPUTED_VALUE"""),"Casa Vacanza")</f>
        <v>Casa Vacanza</v>
      </c>
      <c r="D465" t="str">
        <f>IFERROR(__xludf.DUMMYFUNCTION("""COMPUTED_VALUE"""),"LA DOLCE VITA DOMUS")</f>
        <v>LA DOLCE VITA DOMUS</v>
      </c>
      <c r="E465" t="str">
        <f>IFERROR(__xludf.DUMMYFUNCTION("""COMPUTED_VALUE"""),"MARIO FAZZINO")</f>
        <v>MARIO FAZZINO</v>
      </c>
      <c r="F465" t="str">
        <f>IFERROR(__xludf.DUMMYFUNCTION("""COMPUTED_VALUE"""),"VICO SECONDO CASALNUOVO 21")</f>
        <v>VICO SECONDO CASALNUOVO 21</v>
      </c>
      <c r="G465" t="str">
        <f>IFERROR(__xludf.DUMMYFUNCTION("""COMPUTED_VALUE"""),"Matera")</f>
        <v>Matera</v>
      </c>
      <c r="H465" t="str">
        <f>IFERROR(__xludf.DUMMYFUNCTION("""COMPUTED_VALUE"""),"Italy")</f>
        <v>Italy</v>
      </c>
      <c r="I465">
        <f>IFERROR(__xludf.DUMMYFUNCTION("""COMPUTED_VALUE"""),2522.0)</f>
        <v>2522</v>
      </c>
      <c r="J465">
        <f>IFERROR(__xludf.DUMMYFUNCTION("""COMPUTED_VALUE"""),2.0)</f>
        <v>2</v>
      </c>
      <c r="K465">
        <f>IFERROR(__xludf.DUMMYFUNCTION("""COMPUTED_VALUE"""),159.0)</f>
        <v>159</v>
      </c>
      <c r="L465" t="str">
        <f>IFERROR(__xludf.DUMMYFUNCTION("""COMPUTED_VALUE"""),"FZZMRA72B02F052R")</f>
        <v>FZZMRA72B02F052R</v>
      </c>
      <c r="M465">
        <f>IFERROR(__xludf.DUMMYFUNCTION("""COMPUTED_VALUE"""),2.0)</f>
        <v>2</v>
      </c>
      <c r="N465">
        <f>IFERROR(__xludf.DUMMYFUNCTION("""COMPUTED_VALUE"""),43453.0)</f>
        <v>43453</v>
      </c>
      <c r="O465">
        <f>IFERROR(__xludf.DUMMYFUNCTION("""COMPUTED_VALUE"""),1052.0)</f>
        <v>1052</v>
      </c>
    </row>
    <row r="466">
      <c r="A466">
        <f>IFERROR(__xludf.DUMMYFUNCTION("""COMPUTED_VALUE"""),40.675606)</f>
        <v>40.675606</v>
      </c>
      <c r="B466">
        <f>IFERROR(__xludf.DUMMYFUNCTION("""COMPUTED_VALUE"""),16.598854)</f>
        <v>16.598854</v>
      </c>
      <c r="C466" t="str">
        <f>IFERROR(__xludf.DUMMYFUNCTION("""COMPUTED_VALUE"""),"Casa Vacanza")</f>
        <v>Casa Vacanza</v>
      </c>
      <c r="D466" t="str">
        <f>IFERROR(__xludf.DUMMYFUNCTION("""COMPUTED_VALUE"""),"AMICI MIEI")</f>
        <v>AMICI MIEI</v>
      </c>
      <c r="E466" t="str">
        <f>IFERROR(__xludf.DUMMYFUNCTION("""COMPUTED_VALUE"""),"NICOLETTI ROSA")</f>
        <v>NICOLETTI ROSA</v>
      </c>
      <c r="F466" t="str">
        <f>IFERROR(__xludf.DUMMYFUNCTION("""COMPUTED_VALUE"""),"VIA SALVO D'ERRICO 5")</f>
        <v>VIA SALVO D'ERRICO 5</v>
      </c>
      <c r="G466" t="str">
        <f>IFERROR(__xludf.DUMMYFUNCTION("""COMPUTED_VALUE"""),"Matera")</f>
        <v>Matera</v>
      </c>
      <c r="H466" t="str">
        <f>IFERROR(__xludf.DUMMYFUNCTION("""COMPUTED_VALUE"""),"Italy")</f>
        <v>Italy</v>
      </c>
      <c r="I466">
        <f>IFERROR(__xludf.DUMMYFUNCTION("""COMPUTED_VALUE"""),4741.0)</f>
        <v>4741</v>
      </c>
      <c r="J466">
        <f>IFERROR(__xludf.DUMMYFUNCTION("""COMPUTED_VALUE"""),24.0)</f>
        <v>24</v>
      </c>
      <c r="K466">
        <f>IFERROR(__xludf.DUMMYFUNCTION("""COMPUTED_VALUE"""),159.0)</f>
        <v>159</v>
      </c>
      <c r="L466" t="str">
        <f>IFERROR(__xludf.DUMMYFUNCTION("""COMPUTED_VALUE"""),"NCLRS081H47F052N")</f>
        <v>NCLRS081H47F052N</v>
      </c>
      <c r="M466">
        <f>IFERROR(__xludf.DUMMYFUNCTION("""COMPUTED_VALUE"""),5.0)</f>
        <v>5</v>
      </c>
      <c r="N466">
        <f>IFERROR(__xludf.DUMMYFUNCTION("""COMPUTED_VALUE"""),43461.0)</f>
        <v>43461</v>
      </c>
      <c r="O466">
        <f>IFERROR(__xludf.DUMMYFUNCTION("""COMPUTED_VALUE"""),1719.0)</f>
        <v>1719</v>
      </c>
    </row>
    <row r="467">
      <c r="A467">
        <f>IFERROR(__xludf.DUMMYFUNCTION("""COMPUTED_VALUE"""),40.67007)</f>
        <v>40.67007</v>
      </c>
      <c r="B467">
        <f>IFERROR(__xludf.DUMMYFUNCTION("""COMPUTED_VALUE"""),16.606641)</f>
        <v>16.606641</v>
      </c>
      <c r="C467" t="str">
        <f>IFERROR(__xludf.DUMMYFUNCTION("""COMPUTED_VALUE"""),"Casa Vacanza")</f>
        <v>Casa Vacanza</v>
      </c>
      <c r="D467" t="str">
        <f>IFERROR(__xludf.DUMMYFUNCTION("""COMPUTED_VALUE"""),"IL POGGIOLO")</f>
        <v>IL POGGIOLO</v>
      </c>
      <c r="E467" t="str">
        <f>IFERROR(__xludf.DUMMYFUNCTION("""COMPUTED_VALUE"""),"TOSTO ANTONELLO")</f>
        <v>TOSTO ANTONELLO</v>
      </c>
      <c r="F467" t="str">
        <f>IFERROR(__xludf.DUMMYFUNCTION("""COMPUTED_VALUE"""),"VIA TOMMASO STIGLIANI 78")</f>
        <v>VIA TOMMASO STIGLIANI 78</v>
      </c>
      <c r="G467" t="str">
        <f>IFERROR(__xludf.DUMMYFUNCTION("""COMPUTED_VALUE"""),"Matera")</f>
        <v>Matera</v>
      </c>
      <c r="H467" t="str">
        <f>IFERROR(__xludf.DUMMYFUNCTION("""COMPUTED_VALUE"""),"Italy")</f>
        <v>Italy</v>
      </c>
      <c r="I467">
        <f>IFERROR(__xludf.DUMMYFUNCTION("""COMPUTED_VALUE"""),3464.0)</f>
        <v>3464</v>
      </c>
      <c r="J467">
        <f>IFERROR(__xludf.DUMMYFUNCTION("""COMPUTED_VALUE"""),16.0)</f>
        <v>16</v>
      </c>
      <c r="K467">
        <f>IFERROR(__xludf.DUMMYFUNCTION("""COMPUTED_VALUE"""),159.0)</f>
        <v>159</v>
      </c>
      <c r="L467" t="str">
        <f>IFERROR(__xludf.DUMMYFUNCTION("""COMPUTED_VALUE"""),"TSTNNL88S30A048B")</f>
        <v>TSTNNL88S30A048B</v>
      </c>
      <c r="M467">
        <f>IFERROR(__xludf.DUMMYFUNCTION("""COMPUTED_VALUE"""),4.0)</f>
        <v>4</v>
      </c>
      <c r="N467">
        <f>IFERROR(__xludf.DUMMYFUNCTION("""COMPUTED_VALUE"""),43467.0)</f>
        <v>43467</v>
      </c>
      <c r="O467">
        <f>IFERROR(__xludf.DUMMYFUNCTION("""COMPUTED_VALUE"""),1634.0)</f>
        <v>1634</v>
      </c>
    </row>
    <row r="468">
      <c r="A468">
        <f>IFERROR(__xludf.DUMMYFUNCTION("""COMPUTED_VALUE"""),40.666681)</f>
        <v>40.666681</v>
      </c>
      <c r="B468">
        <f>IFERROR(__xludf.DUMMYFUNCTION("""COMPUTED_VALUE"""),16.608586)</f>
        <v>16.608586</v>
      </c>
      <c r="C468" t="str">
        <f>IFERROR(__xludf.DUMMYFUNCTION("""COMPUTED_VALUE"""),"Casa Vacanza")</f>
        <v>Casa Vacanza</v>
      </c>
      <c r="D468" t="str">
        <f>IFERROR(__xludf.DUMMYFUNCTION("""COMPUTED_VALUE"""),"LA CASETTA NEI SASSI")</f>
        <v>LA CASETTA NEI SASSI</v>
      </c>
      <c r="E468" t="str">
        <f>IFERROR(__xludf.DUMMYFUNCTION("""COMPUTED_VALUE"""),"PURGATORIO MARIA ANTONIETTA")</f>
        <v>PURGATORIO MARIA ANTONIETTA</v>
      </c>
      <c r="F468" t="str">
        <f>IFERROR(__xludf.DUMMYFUNCTION("""COMPUTED_VALUE"""),"RECINTO 2 DI VIA FIORENTINI 18")</f>
        <v>RECINTO 2 DI VIA FIORENTINI 18</v>
      </c>
      <c r="G468" t="str">
        <f>IFERROR(__xludf.DUMMYFUNCTION("""COMPUTED_VALUE"""),"Matera")</f>
        <v>Matera</v>
      </c>
      <c r="H468" t="str">
        <f>IFERROR(__xludf.DUMMYFUNCTION("""COMPUTED_VALUE"""),"Italy")</f>
        <v>Italy</v>
      </c>
      <c r="I468">
        <f>IFERROR(__xludf.DUMMYFUNCTION("""COMPUTED_VALUE"""),2866.0)</f>
        <v>2866</v>
      </c>
      <c r="J468">
        <f>IFERROR(__xludf.DUMMYFUNCTION("""COMPUTED_VALUE"""),3.0)</f>
        <v>3</v>
      </c>
      <c r="K468">
        <f>IFERROR(__xludf.DUMMYFUNCTION("""COMPUTED_VALUE"""),159.0)</f>
        <v>159</v>
      </c>
      <c r="L468" t="str">
        <f>IFERROR(__xludf.DUMMYFUNCTION("""COMPUTED_VALUE"""),"PRGMNT82A59G786Y")</f>
        <v>PRGMNT82A59G786Y</v>
      </c>
      <c r="M468">
        <f>IFERROR(__xludf.DUMMYFUNCTION("""COMPUTED_VALUE"""),4.0)</f>
        <v>4</v>
      </c>
      <c r="N468">
        <f>IFERROR(__xludf.DUMMYFUNCTION("""COMPUTED_VALUE"""),43484.0)</f>
        <v>43484</v>
      </c>
      <c r="O468">
        <f>IFERROR(__xludf.DUMMYFUNCTION("""COMPUTED_VALUE"""),1646.0)</f>
        <v>1646</v>
      </c>
    </row>
    <row r="469">
      <c r="A469">
        <f>IFERROR(__xludf.DUMMYFUNCTION("""COMPUTED_VALUE"""),40.667438)</f>
        <v>40.667438</v>
      </c>
      <c r="B469">
        <f>IFERROR(__xludf.DUMMYFUNCTION("""COMPUTED_VALUE"""),16.605882)</f>
        <v>16.605882</v>
      </c>
      <c r="C469" t="str">
        <f>IFERROR(__xludf.DUMMYFUNCTION("""COMPUTED_VALUE"""),"Casa Vacanza")</f>
        <v>Casa Vacanza</v>
      </c>
      <c r="D469" t="str">
        <f>IFERROR(__xludf.DUMMYFUNCTION("""COMPUTED_VALUE"""),"THE SUPERCENTRAL HOUSE B")</f>
        <v>THE SUPERCENTRAL HOUSE B</v>
      </c>
      <c r="E469" t="str">
        <f>IFERROR(__xludf.DUMMYFUNCTION("""COMPUTED_VALUE"""),"LINGUITI GAETANO")</f>
        <v>LINGUITI GAETANO</v>
      </c>
      <c r="F469" t="str">
        <f>IFERROR(__xludf.DUMMYFUNCTION("""COMPUTED_VALUE"""),"VIA XX SETTEMBRE 3")</f>
        <v>VIA XX SETTEMBRE 3</v>
      </c>
      <c r="G469" t="str">
        <f>IFERROR(__xludf.DUMMYFUNCTION("""COMPUTED_VALUE"""),"Matera")</f>
        <v>Matera</v>
      </c>
      <c r="H469" t="str">
        <f>IFERROR(__xludf.DUMMYFUNCTION("""COMPUTED_VALUE"""),"Italy")</f>
        <v>Italy</v>
      </c>
      <c r="I469">
        <f>IFERROR(__xludf.DUMMYFUNCTION("""COMPUTED_VALUE"""),2712.0)</f>
        <v>2712</v>
      </c>
      <c r="J469">
        <f>IFERROR(__xludf.DUMMYFUNCTION("""COMPUTED_VALUE"""),33.0)</f>
        <v>33</v>
      </c>
      <c r="K469">
        <f>IFERROR(__xludf.DUMMYFUNCTION("""COMPUTED_VALUE"""),159.0)</f>
        <v>159</v>
      </c>
      <c r="L469" t="str">
        <f>IFERROR(__xludf.DUMMYFUNCTION("""COMPUTED_VALUE"""),"LNGGTN40L24F052B")</f>
        <v>LNGGTN40L24F052B</v>
      </c>
      <c r="M469">
        <f>IFERROR(__xludf.DUMMYFUNCTION("""COMPUTED_VALUE"""),2.0)</f>
        <v>2</v>
      </c>
      <c r="N469">
        <f>IFERROR(__xludf.DUMMYFUNCTION("""COMPUTED_VALUE"""),43484.0)</f>
        <v>43484</v>
      </c>
      <c r="O469">
        <f>IFERROR(__xludf.DUMMYFUNCTION("""COMPUTED_VALUE"""),1058.0)</f>
        <v>1058</v>
      </c>
    </row>
    <row r="470">
      <c r="A470">
        <f>IFERROR(__xludf.DUMMYFUNCTION("""COMPUTED_VALUE"""),40.667543)</f>
        <v>40.667543</v>
      </c>
      <c r="B470">
        <f>IFERROR(__xludf.DUMMYFUNCTION("""COMPUTED_VALUE"""),16.608048)</f>
        <v>16.608048</v>
      </c>
      <c r="C470" t="str">
        <f>IFERROR(__xludf.DUMMYFUNCTION("""COMPUTED_VALUE"""),"Casa Vacanza")</f>
        <v>Casa Vacanza</v>
      </c>
      <c r="D470" t="str">
        <f>IFERROR(__xludf.DUMMYFUNCTION("""COMPUTED_VALUE"""),"MATERA INCAMING")</f>
        <v>MATERA INCAMING</v>
      </c>
      <c r="E470" t="str">
        <f>IFERROR(__xludf.DUMMYFUNCTION("""COMPUTED_VALUE"""),"MATERA INCAMING DI MICHELE FERRI")</f>
        <v>MATERA INCAMING DI MICHELE FERRI</v>
      </c>
      <c r="F470" t="str">
        <f>IFERROR(__xludf.DUMMYFUNCTION("""COMPUTED_VALUE"""),"VIA SAN ROCCO 16")</f>
        <v>VIA SAN ROCCO 16</v>
      </c>
      <c r="G470" t="str">
        <f>IFERROR(__xludf.DUMMYFUNCTION("""COMPUTED_VALUE"""),"Matera")</f>
        <v>Matera</v>
      </c>
      <c r="H470" t="str">
        <f>IFERROR(__xludf.DUMMYFUNCTION("""COMPUTED_VALUE"""),"Italy")</f>
        <v>Italy</v>
      </c>
      <c r="I470">
        <f>IFERROR(__xludf.DUMMYFUNCTION("""COMPUTED_VALUE"""),584.0)</f>
        <v>584</v>
      </c>
      <c r="J470">
        <f>IFERROR(__xludf.DUMMYFUNCTION("""COMPUTED_VALUE"""),10.0)</f>
        <v>10</v>
      </c>
      <c r="K470">
        <f>IFERROR(__xludf.DUMMYFUNCTION("""COMPUTED_VALUE"""),159.0)</f>
        <v>159</v>
      </c>
      <c r="L470" t="str">
        <f>IFERROR(__xludf.DUMMYFUNCTION("""COMPUTED_VALUE"""),"FRRNCM78R27G786K")</f>
        <v>FRRNCM78R27G786K</v>
      </c>
      <c r="M470">
        <f>IFERROR(__xludf.DUMMYFUNCTION("""COMPUTED_VALUE"""),14.0)</f>
        <v>14</v>
      </c>
      <c r="N470">
        <f>IFERROR(__xludf.DUMMYFUNCTION("""COMPUTED_VALUE"""),43454.0)</f>
        <v>43454</v>
      </c>
      <c r="O470">
        <f>IFERROR(__xludf.DUMMYFUNCTION("""COMPUTED_VALUE"""),1914.0)</f>
        <v>1914</v>
      </c>
    </row>
    <row r="471">
      <c r="A471">
        <f>IFERROR(__xludf.DUMMYFUNCTION("""COMPUTED_VALUE"""),40.661758)</f>
        <v>40.661758</v>
      </c>
      <c r="B471">
        <f>IFERROR(__xludf.DUMMYFUNCTION("""COMPUTED_VALUE"""),16.531966)</f>
        <v>16.531966</v>
      </c>
      <c r="C471" t="str">
        <f>IFERROR(__xludf.DUMMYFUNCTION("""COMPUTED_VALUE"""),"Casa Vacanza")</f>
        <v>Casa Vacanza</v>
      </c>
      <c r="D471" t="str">
        <f>IFERROR(__xludf.DUMMYFUNCTION("""COMPUTED_VALUE"""),"DA PIETRO IN PIETRA")</f>
        <v>DA PIETRO IN PIETRA</v>
      </c>
      <c r="E471" t="str">
        <f>IFERROR(__xludf.DUMMYFUNCTION("""COMPUTED_VALUE"""),"CUSCIANNA PIETRO EMANUELE")</f>
        <v>CUSCIANNA PIETRO EMANUELE</v>
      </c>
      <c r="F471" t="str">
        <f>IFERROR(__xludf.DUMMYFUNCTION("""COMPUTED_VALUE"""),"VIA MONVISO 26")</f>
        <v>VIA MONVISO 26</v>
      </c>
      <c r="G471" t="str">
        <f>IFERROR(__xludf.DUMMYFUNCTION("""COMPUTED_VALUE"""),"Matera")</f>
        <v>Matera</v>
      </c>
      <c r="H471" t="str">
        <f>IFERROR(__xludf.DUMMYFUNCTION("""COMPUTED_VALUE"""),"Italy")</f>
        <v>Italy</v>
      </c>
      <c r="I471">
        <f>IFERROR(__xludf.DUMMYFUNCTION("""COMPUTED_VALUE"""),2438.0)</f>
        <v>2438</v>
      </c>
      <c r="J471">
        <f>IFERROR(__xludf.DUMMYFUNCTION("""COMPUTED_VALUE"""),3.0)</f>
        <v>3</v>
      </c>
      <c r="K471">
        <f>IFERROR(__xludf.DUMMYFUNCTION("""COMPUTED_VALUE"""),65.0)</f>
        <v>65</v>
      </c>
      <c r="L471" t="str">
        <f>IFERROR(__xludf.DUMMYFUNCTION("""COMPUTED_VALUE"""),"CSCPRM67H29F052L")</f>
        <v>CSCPRM67H29F052L</v>
      </c>
      <c r="M471">
        <f>IFERROR(__xludf.DUMMYFUNCTION("""COMPUTED_VALUE"""),4.0)</f>
        <v>4</v>
      </c>
      <c r="N471">
        <f>IFERROR(__xludf.DUMMYFUNCTION("""COMPUTED_VALUE"""),43463.0)</f>
        <v>43463</v>
      </c>
      <c r="O471">
        <f>IFERROR(__xludf.DUMMYFUNCTION("""COMPUTED_VALUE"""),1020.0)</f>
        <v>1020</v>
      </c>
    </row>
    <row r="472">
      <c r="A472">
        <f>IFERROR(__xludf.DUMMYFUNCTION("""COMPUTED_VALUE"""),40.660407)</f>
        <v>40.660407</v>
      </c>
      <c r="B472">
        <f>IFERROR(__xludf.DUMMYFUNCTION("""COMPUTED_VALUE"""),16.613118)</f>
        <v>16.613118</v>
      </c>
      <c r="C472" t="str">
        <f>IFERROR(__xludf.DUMMYFUNCTION("""COMPUTED_VALUE"""),"Casa Vacanza")</f>
        <v>Casa Vacanza</v>
      </c>
      <c r="D472" t="str">
        <f>IFERROR(__xludf.DUMMYFUNCTION("""COMPUTED_VALUE"""),"PARVA DOMUS")</f>
        <v>PARVA DOMUS</v>
      </c>
      <c r="E472" t="str">
        <f>IFERROR(__xludf.DUMMYFUNCTION("""COMPUTED_VALUE"""),"LOCANTORE LUIGI")</f>
        <v>LOCANTORE LUIGI</v>
      </c>
      <c r="F472" t="str">
        <f>IFERROR(__xludf.DUMMYFUNCTION("""COMPUTED_VALUE"""),"RECINTO SECONDO DI VIA LUCANA 9")</f>
        <v>RECINTO SECONDO DI VIA LUCANA 9</v>
      </c>
      <c r="G472" t="str">
        <f>IFERROR(__xludf.DUMMYFUNCTION("""COMPUTED_VALUE"""),"Matera")</f>
        <v>Matera</v>
      </c>
      <c r="H472" t="str">
        <f>IFERROR(__xludf.DUMMYFUNCTION("""COMPUTED_VALUE"""),"Italy")</f>
        <v>Italy</v>
      </c>
      <c r="I472">
        <f>IFERROR(__xludf.DUMMYFUNCTION("""COMPUTED_VALUE"""),3957.0)</f>
        <v>3957</v>
      </c>
      <c r="J472">
        <f>IFERROR(__xludf.DUMMYFUNCTION("""COMPUTED_VALUE"""),1.0)</f>
        <v>1</v>
      </c>
      <c r="K472">
        <f>IFERROR(__xludf.DUMMYFUNCTION("""COMPUTED_VALUE"""),159.0)</f>
        <v>159</v>
      </c>
      <c r="L472" t="str">
        <f>IFERROR(__xludf.DUMMYFUNCTION("""COMPUTED_VALUE"""),"LCNLGU45H04F637W")</f>
        <v>LCNLGU45H04F637W</v>
      </c>
      <c r="M472">
        <f>IFERROR(__xludf.DUMMYFUNCTION("""COMPUTED_VALUE"""),4.0)</f>
        <v>4</v>
      </c>
      <c r="N472">
        <f>IFERROR(__xludf.DUMMYFUNCTION("""COMPUTED_VALUE"""),43477.0)</f>
        <v>43477</v>
      </c>
      <c r="O472">
        <f>IFERROR(__xludf.DUMMYFUNCTION("""COMPUTED_VALUE"""),847.0)</f>
        <v>847</v>
      </c>
    </row>
    <row r="473">
      <c r="A473">
        <f>IFERROR(__xludf.DUMMYFUNCTION("""COMPUTED_VALUE"""),40.667439)</f>
        <v>40.667439</v>
      </c>
      <c r="B473">
        <f>IFERROR(__xludf.DUMMYFUNCTION("""COMPUTED_VALUE"""),16.605657)</f>
        <v>16.605657</v>
      </c>
      <c r="C473" t="str">
        <f>IFERROR(__xludf.DUMMYFUNCTION("""COMPUTED_VALUE"""),"Casa Vacanza")</f>
        <v>Casa Vacanza</v>
      </c>
      <c r="D473" t="str">
        <f>IFERROR(__xludf.DUMMYFUNCTION("""COMPUTED_VALUE"""),"IL GIRAMONDO HOLIDAY HOUSE")</f>
        <v>IL GIRAMONDO HOLIDAY HOUSE</v>
      </c>
      <c r="E473" t="str">
        <f>IFERROR(__xludf.DUMMYFUNCTION("""COMPUTED_VALUE"""),"DONATELLA LAPOLLA")</f>
        <v>DONATELLA LAPOLLA</v>
      </c>
      <c r="F473" t="str">
        <f>IFERROR(__xludf.DUMMYFUNCTION("""COMPUTED_VALUE"""),"VIA ROMA 8")</f>
        <v>VIA ROMA 8</v>
      </c>
      <c r="G473" t="str">
        <f>IFERROR(__xludf.DUMMYFUNCTION("""COMPUTED_VALUE"""),"Matera")</f>
        <v>Matera</v>
      </c>
      <c r="H473" t="str">
        <f>IFERROR(__xludf.DUMMYFUNCTION("""COMPUTED_VALUE"""),"Italy")</f>
        <v>Italy</v>
      </c>
      <c r="I473">
        <f>IFERROR(__xludf.DUMMYFUNCTION("""COMPUTED_VALUE"""),2710.0)</f>
        <v>2710</v>
      </c>
      <c r="J473">
        <f>IFERROR(__xludf.DUMMYFUNCTION("""COMPUTED_VALUE"""),9.0)</f>
        <v>9</v>
      </c>
      <c r="K473">
        <f>IFERROR(__xludf.DUMMYFUNCTION("""COMPUTED_VALUE"""),159.0)</f>
        <v>159</v>
      </c>
      <c r="L473" t="str">
        <f>IFERROR(__xludf.DUMMYFUNCTION("""COMPUTED_VALUE"""),"LPLDTL93R59F052V")</f>
        <v>LPLDTL93R59F052V</v>
      </c>
      <c r="M473">
        <f>IFERROR(__xludf.DUMMYFUNCTION("""COMPUTED_VALUE"""),3.0)</f>
        <v>3</v>
      </c>
      <c r="N473">
        <f>IFERROR(__xludf.DUMMYFUNCTION("""COMPUTED_VALUE"""),43452.0)</f>
        <v>43452</v>
      </c>
      <c r="O473">
        <f>IFERROR(__xludf.DUMMYFUNCTION("""COMPUTED_VALUE"""),1010.0)</f>
        <v>1010</v>
      </c>
    </row>
    <row r="474">
      <c r="A474">
        <f>IFERROR(__xludf.DUMMYFUNCTION("""COMPUTED_VALUE"""),40.670957)</f>
        <v>40.670957</v>
      </c>
      <c r="B474">
        <f>IFERROR(__xludf.DUMMYFUNCTION("""COMPUTED_VALUE"""),16.606395)</f>
        <v>16.606395</v>
      </c>
      <c r="C474" t="str">
        <f>IFERROR(__xludf.DUMMYFUNCTION("""COMPUTED_VALUE"""),"Casa Vacanza")</f>
        <v>Casa Vacanza</v>
      </c>
      <c r="D474" t="str">
        <f>IFERROR(__xludf.DUMMYFUNCTION("""COMPUTED_VALUE"""),"CASA VACANZA VIA GATTINI")</f>
        <v>CASA VACANZA VIA GATTINI</v>
      </c>
      <c r="E474" t="str">
        <f>IFERROR(__xludf.DUMMYFUNCTION("""COMPUTED_VALUE"""),"LUCIA BOLOGNESE")</f>
        <v>LUCIA BOLOGNESE</v>
      </c>
      <c r="F474" t="str">
        <f>IFERROR(__xludf.DUMMYFUNCTION("""COMPUTED_VALUE"""),"VIA GATTINI 13")</f>
        <v>VIA GATTINI 13</v>
      </c>
      <c r="G474" t="str">
        <f>IFERROR(__xludf.DUMMYFUNCTION("""COMPUTED_VALUE"""),"Matera")</f>
        <v>Matera</v>
      </c>
      <c r="H474" t="str">
        <f>IFERROR(__xludf.DUMMYFUNCTION("""COMPUTED_VALUE"""),"Italy")</f>
        <v>Italy</v>
      </c>
      <c r="I474">
        <f>IFERROR(__xludf.DUMMYFUNCTION("""COMPUTED_VALUE"""),3673.0)</f>
        <v>3673</v>
      </c>
      <c r="J474">
        <f>IFERROR(__xludf.DUMMYFUNCTION("""COMPUTED_VALUE"""),13.0)</f>
        <v>13</v>
      </c>
      <c r="K474">
        <f>IFERROR(__xludf.DUMMYFUNCTION("""COMPUTED_VALUE"""),159.0)</f>
        <v>159</v>
      </c>
      <c r="L474" t="str">
        <f>IFERROR(__xludf.DUMMYFUNCTION("""COMPUTED_VALUE"""),"BLGLCU66D52A225Q")</f>
        <v>BLGLCU66D52A225Q</v>
      </c>
      <c r="M474">
        <f>IFERROR(__xludf.DUMMYFUNCTION("""COMPUTED_VALUE"""),5.0)</f>
        <v>5</v>
      </c>
      <c r="N474">
        <f>IFERROR(__xludf.DUMMYFUNCTION("""COMPUTED_VALUE"""),43494.0)</f>
        <v>43494</v>
      </c>
      <c r="O474">
        <f>IFERROR(__xludf.DUMMYFUNCTION("""COMPUTED_VALUE"""),1232.0)</f>
        <v>1232</v>
      </c>
    </row>
    <row r="475">
      <c r="A475">
        <f>IFERROR(__xludf.DUMMYFUNCTION("""COMPUTED_VALUE"""),40.689445)</f>
        <v>40.689445</v>
      </c>
      <c r="B475">
        <f>IFERROR(__xludf.DUMMYFUNCTION("""COMPUTED_VALUE"""),16.586965)</f>
        <v>16.586965</v>
      </c>
      <c r="C475" t="str">
        <f>IFERROR(__xludf.DUMMYFUNCTION("""COMPUTED_VALUE"""),"Casa Vacanza")</f>
        <v>Casa Vacanza</v>
      </c>
      <c r="D475" t="str">
        <f>IFERROR(__xludf.DUMMYFUNCTION("""COMPUTED_VALUE"""),"LA PICCOLINA")</f>
        <v>LA PICCOLINA</v>
      </c>
      <c r="E475" t="str">
        <f>IFERROR(__xludf.DUMMYFUNCTION("""COMPUTED_VALUE"""),"MARTULLI ROSALBA")</f>
        <v>MARTULLI ROSALBA</v>
      </c>
      <c r="F475" t="str">
        <f>IFERROR(__xludf.DUMMYFUNCTION("""COMPUTED_VALUE"""),"VIA DEI MESSAPI 7 ")</f>
        <v>VIA DEI MESSAPI 7 </v>
      </c>
      <c r="G475" t="str">
        <f>IFERROR(__xludf.DUMMYFUNCTION("""COMPUTED_VALUE"""),"Matera")</f>
        <v>Matera</v>
      </c>
      <c r="H475" t="str">
        <f>IFERROR(__xludf.DUMMYFUNCTION("""COMPUTED_VALUE"""),"Italy")</f>
        <v>Italy</v>
      </c>
      <c r="I475">
        <f>IFERROR(__xludf.DUMMYFUNCTION("""COMPUTED_VALUE"""),633.0)</f>
        <v>633</v>
      </c>
      <c r="J475">
        <f>IFERROR(__xludf.DUMMYFUNCTION("""COMPUTED_VALUE"""),54.0)</f>
        <v>54</v>
      </c>
      <c r="K475">
        <f>IFERROR(__xludf.DUMMYFUNCTION("""COMPUTED_VALUE"""),51.0)</f>
        <v>51</v>
      </c>
      <c r="L475" t="str">
        <f>IFERROR(__xludf.DUMMYFUNCTION("""COMPUTED_VALUE"""),"MRTRLB66C69F052K")</f>
        <v>MRTRLB66C69F052K</v>
      </c>
      <c r="M475">
        <f>IFERROR(__xludf.DUMMYFUNCTION("""COMPUTED_VALUE"""),2.0)</f>
        <v>2</v>
      </c>
      <c r="N475">
        <f>IFERROR(__xludf.DUMMYFUNCTION("""COMPUTED_VALUE"""),43461.0)</f>
        <v>43461</v>
      </c>
      <c r="O475">
        <f>IFERROR(__xludf.DUMMYFUNCTION("""COMPUTED_VALUE"""),1242.0)</f>
        <v>1242</v>
      </c>
    </row>
    <row r="476">
      <c r="A476">
        <f>IFERROR(__xludf.DUMMYFUNCTION("""COMPUTED_VALUE"""),40.677922)</f>
        <v>40.677922</v>
      </c>
      <c r="B476">
        <f>IFERROR(__xludf.DUMMYFUNCTION("""COMPUTED_VALUE"""),16.592321)</f>
        <v>16.592321</v>
      </c>
      <c r="C476" t="str">
        <f>IFERROR(__xludf.DUMMYFUNCTION("""COMPUTED_VALUE"""),"Casa Vacanza")</f>
        <v>Casa Vacanza</v>
      </c>
      <c r="D476" t="str">
        <f>IFERROR(__xludf.DUMMYFUNCTION("""COMPUTED_VALUE"""),"DERICA")</f>
        <v>DERICA</v>
      </c>
      <c r="E476" t="str">
        <f>IFERROR(__xludf.DUMMYFUNCTION("""COMPUTED_VALUE"""),"D'ERCOLE EUSTACHIO")</f>
        <v>D'ERCOLE EUSTACHIO</v>
      </c>
      <c r="F476" t="str">
        <f>IFERROR(__xludf.DUMMYFUNCTION("""COMPUTED_VALUE"""),"VIA SAN PARDO 158")</f>
        <v>VIA SAN PARDO 158</v>
      </c>
      <c r="G476" t="str">
        <f>IFERROR(__xludf.DUMMYFUNCTION("""COMPUTED_VALUE"""),"Matera")</f>
        <v>Matera</v>
      </c>
      <c r="H476" t="str">
        <f>IFERROR(__xludf.DUMMYFUNCTION("""COMPUTED_VALUE"""),"Italy")</f>
        <v>Italy</v>
      </c>
      <c r="I476">
        <f>IFERROR(__xludf.DUMMYFUNCTION("""COMPUTED_VALUE"""),413.0)</f>
        <v>413</v>
      </c>
      <c r="J476">
        <f>IFERROR(__xludf.DUMMYFUNCTION("""COMPUTED_VALUE"""),7.0)</f>
        <v>7</v>
      </c>
      <c r="K476">
        <f>IFERROR(__xludf.DUMMYFUNCTION("""COMPUTED_VALUE"""),70.0)</f>
        <v>70</v>
      </c>
      <c r="L476" t="str">
        <f>IFERROR(__xludf.DUMMYFUNCTION("""COMPUTED_VALUE"""),"DRCSCC75D25F052K")</f>
        <v>DRCSCC75D25F052K</v>
      </c>
      <c r="M476">
        <f>IFERROR(__xludf.DUMMYFUNCTION("""COMPUTED_VALUE"""),9.0)</f>
        <v>9</v>
      </c>
      <c r="N476">
        <f>IFERROR(__xludf.DUMMYFUNCTION("""COMPUTED_VALUE"""),43465.0)</f>
        <v>43465</v>
      </c>
      <c r="O476">
        <f>IFERROR(__xludf.DUMMYFUNCTION("""COMPUTED_VALUE"""),1119.0)</f>
        <v>1119</v>
      </c>
    </row>
    <row r="477">
      <c r="A477">
        <f>IFERROR(__xludf.DUMMYFUNCTION("""COMPUTED_VALUE"""),40.662849)</f>
        <v>40.662849</v>
      </c>
      <c r="B477">
        <f>IFERROR(__xludf.DUMMYFUNCTION("""COMPUTED_VALUE"""),16.611349)</f>
        <v>16.611349</v>
      </c>
      <c r="C477" t="str">
        <f>IFERROR(__xludf.DUMMYFUNCTION("""COMPUTED_VALUE"""),"Casa Vacanza")</f>
        <v>Casa Vacanza</v>
      </c>
      <c r="D477" t="str">
        <f>IFERROR(__xludf.DUMMYFUNCTION("""COMPUTED_VALUE"""),"LE TERRAZZE")</f>
        <v>LE TERRAZZE</v>
      </c>
      <c r="E477" t="str">
        <f>IFERROR(__xludf.DUMMYFUNCTION("""COMPUTED_VALUE"""),"CATUCCI FRANCESCO")</f>
        <v>CATUCCI FRANCESCO</v>
      </c>
      <c r="F477" t="str">
        <f>IFERROR(__xludf.DUMMYFUNCTION("""COMPUTED_VALUE"""),"VICO DI VIA CONCHE 5")</f>
        <v>VICO DI VIA CONCHE 5</v>
      </c>
      <c r="G477" t="str">
        <f>IFERROR(__xludf.DUMMYFUNCTION("""COMPUTED_VALUE"""),"Matera")</f>
        <v>Matera</v>
      </c>
      <c r="H477" t="str">
        <f>IFERROR(__xludf.DUMMYFUNCTION("""COMPUTED_VALUE"""),"Italy")</f>
        <v>Italy</v>
      </c>
      <c r="I477">
        <f>IFERROR(__xludf.DUMMYFUNCTION("""COMPUTED_VALUE"""),2302.0)</f>
        <v>2302</v>
      </c>
      <c r="J477">
        <f>IFERROR(__xludf.DUMMYFUNCTION("""COMPUTED_VALUE"""),14.0)</f>
        <v>14</v>
      </c>
      <c r="K477">
        <f>IFERROR(__xludf.DUMMYFUNCTION("""COMPUTED_VALUE"""),159.0)</f>
        <v>159</v>
      </c>
      <c r="L477" t="str">
        <f>IFERROR(__xludf.DUMMYFUNCTION("""COMPUTED_VALUE"""),"CTCFNC66L04A893V")</f>
        <v>CTCFNC66L04A893V</v>
      </c>
      <c r="M477">
        <f>IFERROR(__xludf.DUMMYFUNCTION("""COMPUTED_VALUE"""),4.0)</f>
        <v>4</v>
      </c>
      <c r="N477">
        <f>IFERROR(__xludf.DUMMYFUNCTION("""COMPUTED_VALUE"""),43489.0)</f>
        <v>43489</v>
      </c>
      <c r="O477">
        <f>IFERROR(__xludf.DUMMYFUNCTION("""COMPUTED_VALUE"""),2013.0)</f>
        <v>2013</v>
      </c>
    </row>
    <row r="478">
      <c r="A478">
        <f>IFERROR(__xludf.DUMMYFUNCTION("""COMPUTED_VALUE"""),40.669519)</f>
        <v>40.669519</v>
      </c>
      <c r="B478">
        <f>IFERROR(__xludf.DUMMYFUNCTION("""COMPUTED_VALUE"""),16.606044)</f>
        <v>16.606044</v>
      </c>
      <c r="C478" t="str">
        <f>IFERROR(__xludf.DUMMYFUNCTION("""COMPUTED_VALUE"""),"Casa Vacanza")</f>
        <v>Casa Vacanza</v>
      </c>
      <c r="D478" t="str">
        <f>IFERROR(__xludf.DUMMYFUNCTION("""COMPUTED_VALUE"""),"LA CASETTA DI FLAVIA")</f>
        <v>LA CASETTA DI FLAVIA</v>
      </c>
      <c r="E478" t="str">
        <f>IFERROR(__xludf.DUMMYFUNCTION("""COMPUTED_VALUE"""),"FLAVIA FARINA")</f>
        <v>FLAVIA FARINA</v>
      </c>
      <c r="F478" t="str">
        <f>IFERROR(__xludf.DUMMYFUNCTION("""COMPUTED_VALUE"""),"VIA XX SETTEMBRE 67")</f>
        <v>VIA XX SETTEMBRE 67</v>
      </c>
      <c r="G478" t="str">
        <f>IFERROR(__xludf.DUMMYFUNCTION("""COMPUTED_VALUE"""),"Matera")</f>
        <v>Matera</v>
      </c>
      <c r="H478" t="str">
        <f>IFERROR(__xludf.DUMMYFUNCTION("""COMPUTED_VALUE"""),"Italy")</f>
        <v>Italy</v>
      </c>
      <c r="I478">
        <f>IFERROR(__xludf.DUMMYFUNCTION("""COMPUTED_VALUE"""),3018.0)</f>
        <v>3018</v>
      </c>
      <c r="J478">
        <f>IFERROR(__xludf.DUMMYFUNCTION("""COMPUTED_VALUE"""),28.0)</f>
        <v>28</v>
      </c>
      <c r="K478">
        <f>IFERROR(__xludf.DUMMYFUNCTION("""COMPUTED_VALUE"""),159.0)</f>
        <v>159</v>
      </c>
      <c r="L478" t="str">
        <f>IFERROR(__xludf.DUMMYFUNCTION("""COMPUTED_VALUE"""),"FRNFLV94T42F0520")</f>
        <v>FRNFLV94T42F0520</v>
      </c>
      <c r="M478">
        <f>IFERROR(__xludf.DUMMYFUNCTION("""COMPUTED_VALUE"""),6.0)</f>
        <v>6</v>
      </c>
      <c r="N478">
        <f>IFERROR(__xludf.DUMMYFUNCTION("""COMPUTED_VALUE"""),43498.0)</f>
        <v>43498</v>
      </c>
      <c r="O478">
        <f>IFERROR(__xludf.DUMMYFUNCTION("""COMPUTED_VALUE"""),1012.0)</f>
        <v>1012</v>
      </c>
    </row>
    <row r="479">
      <c r="A479">
        <f>IFERROR(__xludf.DUMMYFUNCTION("""COMPUTED_VALUE"""),40.666517)</f>
        <v>40.666517</v>
      </c>
      <c r="B479">
        <f>IFERROR(__xludf.DUMMYFUNCTION("""COMPUTED_VALUE"""),16.607883)</f>
        <v>16.607883</v>
      </c>
      <c r="C479" t="str">
        <f>IFERROR(__xludf.DUMMYFUNCTION("""COMPUTED_VALUE"""),"Casa Vacanza")</f>
        <v>Casa Vacanza</v>
      </c>
      <c r="D479" t="str">
        <f>IFERROR(__xludf.DUMMYFUNCTION("""COMPUTED_VALUE"""),"CIVICO 3")</f>
        <v>CIVICO 3</v>
      </c>
      <c r="E479" t="str">
        <f>IFERROR(__xludf.DUMMYFUNCTION("""COMPUTED_VALUE"""),"LATRONICO ANGELICA ANTONIA")</f>
        <v>LATRONICO ANGELICA ANTONIA</v>
      </c>
      <c r="F479" t="str">
        <f>IFERROR(__xludf.DUMMYFUNCTION("""COMPUTED_VALUE"""),"VIA LOMBARDI 3")</f>
        <v>VIA LOMBARDI 3</v>
      </c>
      <c r="G479" t="str">
        <f>IFERROR(__xludf.DUMMYFUNCTION("""COMPUTED_VALUE"""),"Matera")</f>
        <v>Matera</v>
      </c>
      <c r="H479" t="str">
        <f>IFERROR(__xludf.DUMMYFUNCTION("""COMPUTED_VALUE"""),"Italy")</f>
        <v>Italy</v>
      </c>
      <c r="I479">
        <f>IFERROR(__xludf.DUMMYFUNCTION("""COMPUTED_VALUE"""),4853.0)</f>
        <v>4853</v>
      </c>
      <c r="J479">
        <f>IFERROR(__xludf.DUMMYFUNCTION("""COMPUTED_VALUE"""),9.0)</f>
        <v>9</v>
      </c>
      <c r="K479">
        <f>IFERROR(__xludf.DUMMYFUNCTION("""COMPUTED_VALUE"""),159.0)</f>
        <v>159</v>
      </c>
      <c r="L479" t="str">
        <f>IFERROR(__xludf.DUMMYFUNCTION("""COMPUTED_VALUE"""),"LTRNLC79B46D547C")</f>
        <v>LTRNLC79B46D547C</v>
      </c>
      <c r="M479">
        <f>IFERROR(__xludf.DUMMYFUNCTION("""COMPUTED_VALUE"""),2.0)</f>
        <v>2</v>
      </c>
      <c r="N479">
        <f>IFERROR(__xludf.DUMMYFUNCTION("""COMPUTED_VALUE"""),43502.0)</f>
        <v>43502</v>
      </c>
      <c r="O479">
        <f>IFERROR(__xludf.DUMMYFUNCTION("""COMPUTED_VALUE"""),1826.0)</f>
        <v>1826</v>
      </c>
    </row>
    <row r="480">
      <c r="A480">
        <f>IFERROR(__xludf.DUMMYFUNCTION("""COMPUTED_VALUE"""),40.669793)</f>
        <v>40.669793</v>
      </c>
      <c r="B480">
        <f>IFERROR(__xludf.DUMMYFUNCTION("""COMPUTED_VALUE"""),16.608965)</f>
        <v>16.608965</v>
      </c>
      <c r="C480" t="str">
        <f>IFERROR(__xludf.DUMMYFUNCTION("""COMPUTED_VALUE"""),"Casa Vacanza")</f>
        <v>Casa Vacanza</v>
      </c>
      <c r="D480" t="str">
        <f>IFERROR(__xludf.DUMMYFUNCTION("""COMPUTED_VALUE"""),"ANGOLO DEI SASSI")</f>
        <v>ANGOLO DEI SASSI</v>
      </c>
      <c r="E480" t="str">
        <f>IFERROR(__xludf.DUMMYFUNCTION("""COMPUTED_VALUE"""),"AMATULLI FRANCESCA")</f>
        <v>AMATULLI FRANCESCA</v>
      </c>
      <c r="F480" t="str">
        <f>IFERROR(__xludf.DUMMYFUNCTION("""COMPUTED_VALUE"""),"VIA SANTA CESAREA 59")</f>
        <v>VIA SANTA CESAREA 59</v>
      </c>
      <c r="G480" t="str">
        <f>IFERROR(__xludf.DUMMYFUNCTION("""COMPUTED_VALUE"""),"Matera")</f>
        <v>Matera</v>
      </c>
      <c r="H480" t="str">
        <f>IFERROR(__xludf.DUMMYFUNCTION("""COMPUTED_VALUE"""),"Italy")</f>
        <v>Italy</v>
      </c>
      <c r="I480">
        <f>IFERROR(__xludf.DUMMYFUNCTION("""COMPUTED_VALUE"""),3582.0)</f>
        <v>3582</v>
      </c>
      <c r="J480">
        <f>IFERROR(__xludf.DUMMYFUNCTION("""COMPUTED_VALUE"""),19.0)</f>
        <v>19</v>
      </c>
      <c r="K480">
        <f>IFERROR(__xludf.DUMMYFUNCTION("""COMPUTED_VALUE"""),159.0)</f>
        <v>159</v>
      </c>
      <c r="L480" t="str">
        <f>IFERROR(__xludf.DUMMYFUNCTION("""COMPUTED_VALUE"""),"MTLFNC52M59F052N")</f>
        <v>MTLFNC52M59F052N</v>
      </c>
      <c r="M480">
        <f>IFERROR(__xludf.DUMMYFUNCTION("""COMPUTED_VALUE"""),3.0)</f>
        <v>3</v>
      </c>
      <c r="N480">
        <f>IFERROR(__xludf.DUMMYFUNCTION("""COMPUTED_VALUE"""),43502.0)</f>
        <v>43502</v>
      </c>
      <c r="O480">
        <f>IFERROR(__xludf.DUMMYFUNCTION("""COMPUTED_VALUE"""),1056.0)</f>
        <v>1056</v>
      </c>
    </row>
    <row r="481">
      <c r="A481">
        <f>IFERROR(__xludf.DUMMYFUNCTION("""COMPUTED_VALUE"""),40.666093)</f>
        <v>40.666093</v>
      </c>
      <c r="B481">
        <f>IFERROR(__xludf.DUMMYFUNCTION("""COMPUTED_VALUE"""),16.60968)</f>
        <v>16.60968</v>
      </c>
      <c r="C481" t="str">
        <f>IFERROR(__xludf.DUMMYFUNCTION("""COMPUTED_VALUE"""),"Casa Vacanza")</f>
        <v>Casa Vacanza</v>
      </c>
      <c r="D481" t="str">
        <f>IFERROR(__xludf.DUMMYFUNCTION("""COMPUTED_VALUE"""),"LA STOPPA")</f>
        <v>LA STOPPA</v>
      </c>
      <c r="E481" t="str">
        <f>IFERROR(__xludf.DUMMYFUNCTION("""COMPUTED_VALUE"""),"IMBREA MIHAELA")</f>
        <v>IMBREA MIHAELA</v>
      </c>
      <c r="F481" t="str">
        <f>IFERROR(__xludf.DUMMYFUNCTION("""COMPUTED_VALUE"""),"VIA TRE CORONE 7")</f>
        <v>VIA TRE CORONE 7</v>
      </c>
      <c r="G481" t="str">
        <f>IFERROR(__xludf.DUMMYFUNCTION("""COMPUTED_VALUE"""),"Matera")</f>
        <v>Matera</v>
      </c>
      <c r="H481" t="str">
        <f>IFERROR(__xludf.DUMMYFUNCTION("""COMPUTED_VALUE"""),"Italy")</f>
        <v>Italy</v>
      </c>
      <c r="I481">
        <f>IFERROR(__xludf.DUMMYFUNCTION("""COMPUTED_VALUE"""),757.0)</f>
        <v>757</v>
      </c>
      <c r="J481">
        <f>IFERROR(__xludf.DUMMYFUNCTION("""COMPUTED_VALUE"""),12.0)</f>
        <v>12</v>
      </c>
      <c r="K481">
        <f>IFERROR(__xludf.DUMMYFUNCTION("""COMPUTED_VALUE"""),159.0)</f>
        <v>159</v>
      </c>
      <c r="L481" t="str">
        <f>IFERROR(__xludf.DUMMYFUNCTION("""COMPUTED_VALUE"""),"MBRMHL86L41Z129S")</f>
        <v>MBRMHL86L41Z129S</v>
      </c>
      <c r="M481">
        <f>IFERROR(__xludf.DUMMYFUNCTION("""COMPUTED_VALUE"""),2.0)</f>
        <v>2</v>
      </c>
      <c r="N481">
        <f>IFERROR(__xludf.DUMMYFUNCTION("""COMPUTED_VALUE"""),43508.0)</f>
        <v>43508</v>
      </c>
      <c r="O481">
        <f>IFERROR(__xludf.DUMMYFUNCTION("""COMPUTED_VALUE"""),1936.0)</f>
        <v>1936</v>
      </c>
    </row>
    <row r="482">
      <c r="A482">
        <f>IFERROR(__xludf.DUMMYFUNCTION("""COMPUTED_VALUE"""),40.672949)</f>
        <v>40.672949</v>
      </c>
      <c r="B482">
        <f>IFERROR(__xludf.DUMMYFUNCTION("""COMPUTED_VALUE"""),16.604082)</f>
        <v>16.604082</v>
      </c>
      <c r="C482" t="str">
        <f>IFERROR(__xludf.DUMMYFUNCTION("""COMPUTED_VALUE"""),"Casa Vacanza ")</f>
        <v>Casa Vacanza </v>
      </c>
      <c r="D482" t="str">
        <f>IFERROR(__xludf.DUMMYFUNCTION("""COMPUTED_VALUE"""),"STELLA GUEST HOUSE")</f>
        <v>STELLA GUEST HOUSE</v>
      </c>
      <c r="E482" t="str">
        <f>IFERROR(__xludf.DUMMYFUNCTION("""COMPUTED_VALUE"""),"ROMANO GIANFRANCO")</f>
        <v>ROMANO GIANFRANCO</v>
      </c>
      <c r="F482" t="str">
        <f>IFERROR(__xludf.DUMMYFUNCTION("""COMPUTED_VALUE"""),"VIA NICOLA SOLE 34")</f>
        <v>VIA NICOLA SOLE 34</v>
      </c>
      <c r="G482" t="str">
        <f>IFERROR(__xludf.DUMMYFUNCTION("""COMPUTED_VALUE"""),"Matera")</f>
        <v>Matera</v>
      </c>
      <c r="H482" t="str">
        <f>IFERROR(__xludf.DUMMYFUNCTION("""COMPUTED_VALUE"""),"Italy")</f>
        <v>Italy</v>
      </c>
      <c r="I482">
        <f>IFERROR(__xludf.DUMMYFUNCTION("""COMPUTED_VALUE"""),5390.0)</f>
        <v>5390</v>
      </c>
      <c r="J482">
        <f>IFERROR(__xludf.DUMMYFUNCTION("""COMPUTED_VALUE"""),85.0)</f>
        <v>85</v>
      </c>
      <c r="K482">
        <f>IFERROR(__xludf.DUMMYFUNCTION("""COMPUTED_VALUE"""),159.0)</f>
        <v>159</v>
      </c>
      <c r="L482" t="str">
        <f>IFERROR(__xludf.DUMMYFUNCTION("""COMPUTED_VALUE"""),"RMNGFR78L24F052C")</f>
        <v>RMNGFR78L24F052C</v>
      </c>
      <c r="M482">
        <f>IFERROR(__xludf.DUMMYFUNCTION("""COMPUTED_VALUE"""),4.0)</f>
        <v>4</v>
      </c>
      <c r="N482">
        <f>IFERROR(__xludf.DUMMYFUNCTION("""COMPUTED_VALUE"""),43511.0)</f>
        <v>43511</v>
      </c>
      <c r="O482">
        <f>IFERROR(__xludf.DUMMYFUNCTION("""COMPUTED_VALUE"""),1104.0)</f>
        <v>1104</v>
      </c>
    </row>
    <row r="483">
      <c r="A483">
        <f>IFERROR(__xludf.DUMMYFUNCTION("""COMPUTED_VALUE"""),40.66273)</f>
        <v>40.66273</v>
      </c>
      <c r="B483">
        <f>IFERROR(__xludf.DUMMYFUNCTION("""COMPUTED_VALUE"""),16.609361)</f>
        <v>16.609361</v>
      </c>
      <c r="C483" t="str">
        <f>IFERROR(__xludf.DUMMYFUNCTION("""COMPUTED_VALUE"""),"Casa Vacanza")</f>
        <v>Casa Vacanza</v>
      </c>
      <c r="D483" t="str">
        <f>IFERROR(__xludf.DUMMYFUNCTION("""COMPUTED_VALUE"""),"LE STANZE DEI LONGOBARDI")</f>
        <v>LE STANZE DEI LONGOBARDI</v>
      </c>
      <c r="E483" t="str">
        <f>IFERROR(__xludf.DUMMYFUNCTION("""COMPUTED_VALUE"""),"NICOLETTI PASQUALE")</f>
        <v>NICOLETTI PASQUALE</v>
      </c>
      <c r="F483" t="str">
        <f>IFERROR(__xludf.DUMMYFUNCTION("""COMPUTED_VALUE"""),"EMANUELE DUNI 17 BIS")</f>
        <v>EMANUELE DUNI 17 BIS</v>
      </c>
      <c r="G483" t="str">
        <f>IFERROR(__xludf.DUMMYFUNCTION("""COMPUTED_VALUE"""),"Matera")</f>
        <v>Matera</v>
      </c>
      <c r="H483" t="str">
        <f>IFERROR(__xludf.DUMMYFUNCTION("""COMPUTED_VALUE"""),"Italy")</f>
        <v>Italy</v>
      </c>
      <c r="I483">
        <f>IFERROR(__xludf.DUMMYFUNCTION("""COMPUTED_VALUE"""),2998.0)</f>
        <v>2998</v>
      </c>
      <c r="J483">
        <f>IFERROR(__xludf.DUMMYFUNCTION("""COMPUTED_VALUE"""),9.0)</f>
        <v>9</v>
      </c>
      <c r="K483">
        <f>IFERROR(__xludf.DUMMYFUNCTION("""COMPUTED_VALUE"""),159.0)</f>
        <v>159</v>
      </c>
      <c r="L483" t="str">
        <f>IFERROR(__xludf.DUMMYFUNCTION("""COMPUTED_VALUE"""),"NCLPQL74L25F052K")</f>
        <v>NCLPQL74L25F052K</v>
      </c>
      <c r="M483" t="str">
        <f>IFERROR(__xludf.DUMMYFUNCTION("""COMPUTED_VALUE"""),"")</f>
        <v/>
      </c>
      <c r="N483">
        <f>IFERROR(__xludf.DUMMYFUNCTION("""COMPUTED_VALUE"""),43514.0)</f>
        <v>43514</v>
      </c>
      <c r="O483">
        <f>IFERROR(__xludf.DUMMYFUNCTION("""COMPUTED_VALUE"""),1805.0)</f>
        <v>1805</v>
      </c>
    </row>
    <row r="484">
      <c r="A484">
        <f>IFERROR(__xludf.DUMMYFUNCTION("""COMPUTED_VALUE"""),40.658914)</f>
        <v>40.658914</v>
      </c>
      <c r="B484">
        <f>IFERROR(__xludf.DUMMYFUNCTION("""COMPUTED_VALUE"""),16.603041)</f>
        <v>16.603041</v>
      </c>
      <c r="C484" t="str">
        <f>IFERROR(__xludf.DUMMYFUNCTION("""COMPUTED_VALUE"""),"Casa Vacanza")</f>
        <v>Casa Vacanza</v>
      </c>
      <c r="D484" t="str">
        <f>IFERROR(__xludf.DUMMYFUNCTION("""COMPUTED_VALUE"""),"CASA TULIP")</f>
        <v>CASA TULIP</v>
      </c>
      <c r="E484" t="str">
        <f>IFERROR(__xludf.DUMMYFUNCTION("""COMPUTED_VALUE"""),"PERRONE BRUNA")</f>
        <v>PERRONE BRUNA</v>
      </c>
      <c r="F484" t="str">
        <f>IFERROR(__xludf.DUMMYFUNCTION("""COMPUTED_VALUE"""),"VIA DEL TULIPANO 9")</f>
        <v>VIA DEL TULIPANO 9</v>
      </c>
      <c r="G484" t="str">
        <f>IFERROR(__xludf.DUMMYFUNCTION("""COMPUTED_VALUE"""),"Matera")</f>
        <v>Matera</v>
      </c>
      <c r="H484" t="str">
        <f>IFERROR(__xludf.DUMMYFUNCTION("""COMPUTED_VALUE"""),"Italy")</f>
        <v>Italy</v>
      </c>
      <c r="I484">
        <f>IFERROR(__xludf.DUMMYFUNCTION("""COMPUTED_VALUE"""),320.0)</f>
        <v>320</v>
      </c>
      <c r="J484">
        <f>IFERROR(__xludf.DUMMYFUNCTION("""COMPUTED_VALUE"""),21.0)</f>
        <v>21</v>
      </c>
      <c r="K484">
        <f>IFERROR(__xludf.DUMMYFUNCTION("""COMPUTED_VALUE"""),101.0)</f>
        <v>101</v>
      </c>
      <c r="L484" t="str">
        <f>IFERROR(__xludf.DUMMYFUNCTION("""COMPUTED_VALUE"""),"PRRBRN67M46F052V")</f>
        <v>PRRBRN67M46F052V</v>
      </c>
      <c r="M484">
        <f>IFERROR(__xludf.DUMMYFUNCTION("""COMPUTED_VALUE"""),5.0)</f>
        <v>5</v>
      </c>
      <c r="N484">
        <f>IFERROR(__xludf.DUMMYFUNCTION("""COMPUTED_VALUE"""),43510.0)</f>
        <v>43510</v>
      </c>
      <c r="O484">
        <f>IFERROR(__xludf.DUMMYFUNCTION("""COMPUTED_VALUE"""),1740.0)</f>
        <v>1740</v>
      </c>
    </row>
    <row r="485">
      <c r="A485">
        <f>IFERROR(__xludf.DUMMYFUNCTION("""COMPUTED_VALUE"""),40.663051)</f>
        <v>40.663051</v>
      </c>
      <c r="B485">
        <f>IFERROR(__xludf.DUMMYFUNCTION("""COMPUTED_VALUE"""),16.609364)</f>
        <v>16.609364</v>
      </c>
      <c r="C485" t="str">
        <f>IFERROR(__xludf.DUMMYFUNCTION("""COMPUTED_VALUE"""),"Casa Vacanza")</f>
        <v>Casa Vacanza</v>
      </c>
      <c r="D485" t="str">
        <f>IFERROR(__xludf.DUMMYFUNCTION("""COMPUTED_VALUE"""),"LA STANZA DEI BIZANTINI")</f>
        <v>LA STANZA DEI BIZANTINI</v>
      </c>
      <c r="E485" t="str">
        <f>IFERROR(__xludf.DUMMYFUNCTION("""COMPUTED_VALUE"""),"NICOLETTI PASQUALE")</f>
        <v>NICOLETTI PASQUALE</v>
      </c>
      <c r="F485" t="str">
        <f>IFERROR(__xludf.DUMMYFUNCTION("""COMPUTED_VALUE"""),"VICO PRIMO EMANUELE DUNI 17 BIS")</f>
        <v>VICO PRIMO EMANUELE DUNI 17 BIS</v>
      </c>
      <c r="G485" t="str">
        <f>IFERROR(__xludf.DUMMYFUNCTION("""COMPUTED_VALUE"""),"Matera")</f>
        <v>Matera</v>
      </c>
      <c r="H485" t="str">
        <f>IFERROR(__xludf.DUMMYFUNCTION("""COMPUTED_VALUE"""),"Italy")</f>
        <v>Italy</v>
      </c>
      <c r="I485">
        <f>IFERROR(__xludf.DUMMYFUNCTION("""COMPUTED_VALUE"""),2998.0)</f>
        <v>2998</v>
      </c>
      <c r="J485">
        <f>IFERROR(__xludf.DUMMYFUNCTION("""COMPUTED_VALUE"""),10.0)</f>
        <v>10</v>
      </c>
      <c r="K485">
        <f>IFERROR(__xludf.DUMMYFUNCTION("""COMPUTED_VALUE"""),159.0)</f>
        <v>159</v>
      </c>
      <c r="L485" t="str">
        <f>IFERROR(__xludf.DUMMYFUNCTION("""COMPUTED_VALUE"""),"NCLPQL74L25F052K")</f>
        <v>NCLPQL74L25F052K</v>
      </c>
      <c r="M485">
        <f>IFERROR(__xludf.DUMMYFUNCTION("""COMPUTED_VALUE"""),2.0)</f>
        <v>2</v>
      </c>
      <c r="N485">
        <f>IFERROR(__xludf.DUMMYFUNCTION("""COMPUTED_VALUE"""),43514.0)</f>
        <v>43514</v>
      </c>
      <c r="O485">
        <f>IFERROR(__xludf.DUMMYFUNCTION("""COMPUTED_VALUE"""),1929.0)</f>
        <v>1929</v>
      </c>
    </row>
    <row r="486">
      <c r="A486">
        <f>IFERROR(__xludf.DUMMYFUNCTION("""COMPUTED_VALUE"""),40.669544)</f>
        <v>40.669544</v>
      </c>
      <c r="B486">
        <f>IFERROR(__xludf.DUMMYFUNCTION("""COMPUTED_VALUE"""),16.608892)</f>
        <v>16.608892</v>
      </c>
      <c r="C486" t="str">
        <f>IFERROR(__xludf.DUMMYFUNCTION("""COMPUTED_VALUE"""),"Casa Vacanza")</f>
        <v>Casa Vacanza</v>
      </c>
      <c r="D486" t="str">
        <f>IFERROR(__xludf.DUMMYFUNCTION("""COMPUTED_VALUE"""),"PALAZZO ENSELMI CASA 10")</f>
        <v>PALAZZO ENSELMI CASA 10</v>
      </c>
      <c r="E486" t="str">
        <f>IFERROR(__xludf.DUMMYFUNCTION("""COMPUTED_VALUE"""),"NEXT PROGETTI SRL")</f>
        <v>NEXT PROGETTI SRL</v>
      </c>
      <c r="F486" t="str">
        <f>IFERROR(__xludf.DUMMYFUNCTION("""COMPUTED_VALUE"""),"VIA SANTA CESAREA 3")</f>
        <v>VIA SANTA CESAREA 3</v>
      </c>
      <c r="G486" t="str">
        <f>IFERROR(__xludf.DUMMYFUNCTION("""COMPUTED_VALUE"""),"Matera")</f>
        <v>Matera</v>
      </c>
      <c r="H486" t="str">
        <f>IFERROR(__xludf.DUMMYFUNCTION("""COMPUTED_VALUE"""),"Italy")</f>
        <v>Italy</v>
      </c>
      <c r="I486">
        <f>IFERROR(__xludf.DUMMYFUNCTION("""COMPUTED_VALUE"""),546.0)</f>
        <v>546</v>
      </c>
      <c r="J486">
        <f>IFERROR(__xludf.DUMMYFUNCTION("""COMPUTED_VALUE"""),4.0)</f>
        <v>4</v>
      </c>
      <c r="K486">
        <f>IFERROR(__xludf.DUMMYFUNCTION("""COMPUTED_VALUE"""),159.0)</f>
        <v>159</v>
      </c>
      <c r="L486">
        <f>IFERROR(__xludf.DUMMYFUNCTION("""COMPUTED_VALUE"""),1.455261004E9)</f>
        <v>1455261004</v>
      </c>
      <c r="M486">
        <f>IFERROR(__xludf.DUMMYFUNCTION("""COMPUTED_VALUE"""),2.0)</f>
        <v>2</v>
      </c>
      <c r="N486">
        <f>IFERROR(__xludf.DUMMYFUNCTION("""COMPUTED_VALUE"""),43518.0)</f>
        <v>43518</v>
      </c>
      <c r="O486">
        <f>IFERROR(__xludf.DUMMYFUNCTION("""COMPUTED_VALUE"""),1318.0)</f>
        <v>1318</v>
      </c>
    </row>
    <row r="487">
      <c r="A487">
        <f>IFERROR(__xludf.DUMMYFUNCTION("""COMPUTED_VALUE"""),40.669544)</f>
        <v>40.669544</v>
      </c>
      <c r="B487">
        <f>IFERROR(__xludf.DUMMYFUNCTION("""COMPUTED_VALUE"""),16.608892)</f>
        <v>16.608892</v>
      </c>
      <c r="C487" t="str">
        <f>IFERROR(__xludf.DUMMYFUNCTION("""COMPUTED_VALUE"""),"Casa Vacanza")</f>
        <v>Casa Vacanza</v>
      </c>
      <c r="D487" t="str">
        <f>IFERROR(__xludf.DUMMYFUNCTION("""COMPUTED_VALUE"""),"PALAZZO ENSELMI CASA 11")</f>
        <v>PALAZZO ENSELMI CASA 11</v>
      </c>
      <c r="E487" t="str">
        <f>IFERROR(__xludf.DUMMYFUNCTION("""COMPUTED_VALUE"""),"NEXT PROGETTI SRL")</f>
        <v>NEXT PROGETTI SRL</v>
      </c>
      <c r="F487" t="str">
        <f>IFERROR(__xludf.DUMMYFUNCTION("""COMPUTED_VALUE"""),"VIA SANTA CESAREA 3")</f>
        <v>VIA SANTA CESAREA 3</v>
      </c>
      <c r="G487" t="str">
        <f>IFERROR(__xludf.DUMMYFUNCTION("""COMPUTED_VALUE"""),"Matera")</f>
        <v>Matera</v>
      </c>
      <c r="H487" t="str">
        <f>IFERROR(__xludf.DUMMYFUNCTION("""COMPUTED_VALUE"""),"Italy")</f>
        <v>Italy</v>
      </c>
      <c r="I487">
        <f>IFERROR(__xludf.DUMMYFUNCTION("""COMPUTED_VALUE"""),1.0)</f>
        <v>1</v>
      </c>
      <c r="J487">
        <f>IFERROR(__xludf.DUMMYFUNCTION("""COMPUTED_VALUE"""),5.0)</f>
        <v>5</v>
      </c>
      <c r="K487">
        <f>IFERROR(__xludf.DUMMYFUNCTION("""COMPUTED_VALUE"""),159.0)</f>
        <v>159</v>
      </c>
      <c r="L487">
        <f>IFERROR(__xludf.DUMMYFUNCTION("""COMPUTED_VALUE"""),1.455261004E9)</f>
        <v>1455261004</v>
      </c>
      <c r="M487">
        <f>IFERROR(__xludf.DUMMYFUNCTION("""COMPUTED_VALUE"""),5.0)</f>
        <v>5</v>
      </c>
      <c r="N487">
        <f>IFERROR(__xludf.DUMMYFUNCTION("""COMPUTED_VALUE"""),43518.0)</f>
        <v>43518</v>
      </c>
      <c r="O487">
        <f>IFERROR(__xludf.DUMMYFUNCTION("""COMPUTED_VALUE"""),1224.0)</f>
        <v>1224</v>
      </c>
    </row>
    <row r="488">
      <c r="A488">
        <f>IFERROR(__xludf.DUMMYFUNCTION("""COMPUTED_VALUE"""),40.666396)</f>
        <v>40.666396</v>
      </c>
      <c r="B488">
        <f>IFERROR(__xludf.DUMMYFUNCTION("""COMPUTED_VALUE"""),16.60493)</f>
        <v>16.60493</v>
      </c>
      <c r="C488" t="str">
        <f>IFERROR(__xludf.DUMMYFUNCTION("""COMPUTED_VALUE"""),"Casa Vacanza")</f>
        <v>Casa Vacanza</v>
      </c>
      <c r="D488" t="str">
        <f>IFERROR(__xludf.DUMMYFUNCTION("""COMPUTED_VALUE"""),"PLATFORM 20/19")</f>
        <v>PLATFORM 20/19</v>
      </c>
      <c r="E488" t="str">
        <f>IFERROR(__xludf.DUMMYFUNCTION("""COMPUTED_VALUE"""),"DITARANTO PIETRO")</f>
        <v>DITARANTO PIETRO</v>
      </c>
      <c r="F488" t="str">
        <f>IFERROR(__xludf.DUMMYFUNCTION("""COMPUTED_VALUE"""),"VIA ASCANO PERSIO 38")</f>
        <v>VIA ASCANO PERSIO 38</v>
      </c>
      <c r="G488" t="str">
        <f>IFERROR(__xludf.DUMMYFUNCTION("""COMPUTED_VALUE"""),"Matera")</f>
        <v>Matera</v>
      </c>
      <c r="H488" t="str">
        <f>IFERROR(__xludf.DUMMYFUNCTION("""COMPUTED_VALUE"""),"Italy")</f>
        <v>Italy</v>
      </c>
      <c r="I488">
        <f>IFERROR(__xludf.DUMMYFUNCTION("""COMPUTED_VALUE"""),3028.0)</f>
        <v>3028</v>
      </c>
      <c r="J488">
        <f>IFERROR(__xludf.DUMMYFUNCTION("""COMPUTED_VALUE"""),15.0)</f>
        <v>15</v>
      </c>
      <c r="K488">
        <f>IFERROR(__xludf.DUMMYFUNCTION("""COMPUTED_VALUE"""),159.0)</f>
        <v>159</v>
      </c>
      <c r="L488" t="str">
        <f>IFERROR(__xludf.DUMMYFUNCTION("""COMPUTED_VALUE"""),"DTRPTR61A13F637P")</f>
        <v>DTRPTR61A13F637P</v>
      </c>
      <c r="M488">
        <f>IFERROR(__xludf.DUMMYFUNCTION("""COMPUTED_VALUE"""),4.0)</f>
        <v>4</v>
      </c>
      <c r="N488">
        <f>IFERROR(__xludf.DUMMYFUNCTION("""COMPUTED_VALUE"""),43448.0)</f>
        <v>43448</v>
      </c>
      <c r="O488">
        <f>IFERROR(__xludf.DUMMYFUNCTION("""COMPUTED_VALUE"""),1056.0)</f>
        <v>1056</v>
      </c>
    </row>
    <row r="489">
      <c r="A489">
        <f>IFERROR(__xludf.DUMMYFUNCTION("""COMPUTED_VALUE"""),40.678438)</f>
        <v>40.678438</v>
      </c>
      <c r="B489">
        <f>IFERROR(__xludf.DUMMYFUNCTION("""COMPUTED_VALUE"""),16.593778)</f>
        <v>16.593778</v>
      </c>
      <c r="C489" t="str">
        <f>IFERROR(__xludf.DUMMYFUNCTION("""COMPUTED_VALUE"""),"Casa Vacanza")</f>
        <v>Casa Vacanza</v>
      </c>
      <c r="D489" t="str">
        <f>IFERROR(__xludf.DUMMYFUNCTION("""COMPUTED_VALUE"""),"CASA ENZA")</f>
        <v>CASA ENZA</v>
      </c>
      <c r="E489" t="str">
        <f>IFERROR(__xludf.DUMMYFUNCTION("""COMPUTED_VALUE"""),"TATARANNI MARIA VINCENZA")</f>
        <v>TATARANNI MARIA VINCENZA</v>
      </c>
      <c r="F489" t="str">
        <f>IFERROR(__xludf.DUMMYFUNCTION("""COMPUTED_VALUE"""),"VIA COLANGIULI 5")</f>
        <v>VIA COLANGIULI 5</v>
      </c>
      <c r="G489" t="str">
        <f>IFERROR(__xludf.DUMMYFUNCTION("""COMPUTED_VALUE"""),"Matera")</f>
        <v>Matera</v>
      </c>
      <c r="H489" t="str">
        <f>IFERROR(__xludf.DUMMYFUNCTION("""COMPUTED_VALUE"""),"Italy")</f>
        <v>Italy</v>
      </c>
      <c r="I489">
        <f>IFERROR(__xludf.DUMMYFUNCTION("""COMPUTED_VALUE"""),234.0)</f>
        <v>234</v>
      </c>
      <c r="J489">
        <f>IFERROR(__xludf.DUMMYFUNCTION("""COMPUTED_VALUE"""),5.0)</f>
        <v>5</v>
      </c>
      <c r="K489">
        <f>IFERROR(__xludf.DUMMYFUNCTION("""COMPUTED_VALUE"""),70.0)</f>
        <v>70</v>
      </c>
      <c r="L489" t="str">
        <f>IFERROR(__xludf.DUMMYFUNCTION("""COMPUTED_VALUE"""),"TTRMVN50S49F052M")</f>
        <v>TTRMVN50S49F052M</v>
      </c>
      <c r="M489">
        <f>IFERROR(__xludf.DUMMYFUNCTION("""COMPUTED_VALUE"""),6.0)</f>
        <v>6</v>
      </c>
      <c r="N489">
        <f>IFERROR(__xludf.DUMMYFUNCTION("""COMPUTED_VALUE"""),43501.0)</f>
        <v>43501</v>
      </c>
      <c r="O489">
        <f>IFERROR(__xludf.DUMMYFUNCTION("""COMPUTED_VALUE"""),952.0)</f>
        <v>952</v>
      </c>
    </row>
    <row r="490">
      <c r="A490">
        <f>IFERROR(__xludf.DUMMYFUNCTION("""COMPUTED_VALUE"""),40.672315)</f>
        <v>40.672315</v>
      </c>
      <c r="B490">
        <f>IFERROR(__xludf.DUMMYFUNCTION("""COMPUTED_VALUE"""),16.604682)</f>
        <v>16.604682</v>
      </c>
      <c r="C490" t="str">
        <f>IFERROR(__xludf.DUMMYFUNCTION("""COMPUTED_VALUE"""),"Casa Vacanza")</f>
        <v>Casa Vacanza</v>
      </c>
      <c r="D490" t="str">
        <f>IFERROR(__xludf.DUMMYFUNCTION("""COMPUTED_VALUE"""),"HOLIDAY HOUSE BRUNETTA")</f>
        <v>HOLIDAY HOUSE BRUNETTA</v>
      </c>
      <c r="E490" t="str">
        <f>IFERROR(__xludf.DUMMYFUNCTION("""COMPUTED_VALUE"""),"LAMANNA DOMENICO")</f>
        <v>LAMANNA DOMENICO</v>
      </c>
      <c r="F490" t="str">
        <f>IFERROR(__xludf.DUMMYFUNCTION("""COMPUTED_VALUE"""),"VIA GIOVANNI GIOLITTI 19")</f>
        <v>VIA GIOVANNI GIOLITTI 19</v>
      </c>
      <c r="G490" t="str">
        <f>IFERROR(__xludf.DUMMYFUNCTION("""COMPUTED_VALUE"""),"Matera")</f>
        <v>Matera</v>
      </c>
      <c r="H490" t="str">
        <f>IFERROR(__xludf.DUMMYFUNCTION("""COMPUTED_VALUE"""),"Italy")</f>
        <v>Italy</v>
      </c>
      <c r="I490">
        <f>IFERROR(__xludf.DUMMYFUNCTION("""COMPUTED_VALUE"""),4028.0)</f>
        <v>4028</v>
      </c>
      <c r="J490">
        <f>IFERROR(__xludf.DUMMYFUNCTION("""COMPUTED_VALUE"""),13.0)</f>
        <v>13</v>
      </c>
      <c r="K490">
        <f>IFERROR(__xludf.DUMMYFUNCTION("""COMPUTED_VALUE"""),159.0)</f>
        <v>159</v>
      </c>
      <c r="L490" t="str">
        <f>IFERROR(__xludf.DUMMYFUNCTION("""COMPUTED_VALUE"""),"LMNDNC51H08F052X")</f>
        <v>LMNDNC51H08F052X</v>
      </c>
      <c r="M490">
        <f>IFERROR(__xludf.DUMMYFUNCTION("""COMPUTED_VALUE"""),2.0)</f>
        <v>2</v>
      </c>
      <c r="N490">
        <f>IFERROR(__xludf.DUMMYFUNCTION("""COMPUTED_VALUE"""),43528.0)</f>
        <v>43528</v>
      </c>
      <c r="O490">
        <f>IFERROR(__xludf.DUMMYFUNCTION("""COMPUTED_VALUE"""),2219.0)</f>
        <v>2219</v>
      </c>
    </row>
    <row r="491">
      <c r="A491">
        <f>IFERROR(__xludf.DUMMYFUNCTION("""COMPUTED_VALUE"""),40.670821)</f>
        <v>40.670821</v>
      </c>
      <c r="B491">
        <f>IFERROR(__xludf.DUMMYFUNCTION("""COMPUTED_VALUE"""),16.605736)</f>
        <v>16.605736</v>
      </c>
      <c r="C491" t="str">
        <f>IFERROR(__xludf.DUMMYFUNCTION("""COMPUTED_VALUE"""),"Casa Vacanza")</f>
        <v>Casa Vacanza</v>
      </c>
      <c r="D491" t="str">
        <f>IFERROR(__xludf.DUMMYFUNCTION("""COMPUTED_VALUE"""),"IL PROFUMO DEI SASSI HOLIDAY HOME")</f>
        <v>IL PROFUMO DEI SASSI HOLIDAY HOME</v>
      </c>
      <c r="E491" t="str">
        <f>IFERROR(__xludf.DUMMYFUNCTION("""COMPUTED_VALUE"""),"FABRIZIO FRANCESCO")</f>
        <v>FABRIZIO FRANCESCO</v>
      </c>
      <c r="F491" t="str">
        <f>IFERROR(__xludf.DUMMYFUNCTION("""COMPUTED_VALUE"""),"VIA ANNUNZIATELLA 10")</f>
        <v>VIA ANNUNZIATELLA 10</v>
      </c>
      <c r="G491" t="str">
        <f>IFERROR(__xludf.DUMMYFUNCTION("""COMPUTED_VALUE"""),"Matera")</f>
        <v>Matera</v>
      </c>
      <c r="H491" t="str">
        <f>IFERROR(__xludf.DUMMYFUNCTION("""COMPUTED_VALUE"""),"Italy")</f>
        <v>Italy</v>
      </c>
      <c r="I491">
        <f>IFERROR(__xludf.DUMMYFUNCTION("""COMPUTED_VALUE"""),3645.0)</f>
        <v>3645</v>
      </c>
      <c r="J491">
        <f>IFERROR(__xludf.DUMMYFUNCTION("""COMPUTED_VALUE"""),16.0)</f>
        <v>16</v>
      </c>
      <c r="K491">
        <f>IFERROR(__xludf.DUMMYFUNCTION("""COMPUTED_VALUE"""),159.0)</f>
        <v>159</v>
      </c>
      <c r="L491" t="str">
        <f>IFERROR(__xludf.DUMMYFUNCTION("""COMPUTED_VALUE"""),"FBRFNC71T24F052E")</f>
        <v>FBRFNC71T24F052E</v>
      </c>
      <c r="M491" t="str">
        <f>IFERROR(__xludf.DUMMYFUNCTION("""COMPUTED_VALUE"""),"")</f>
        <v/>
      </c>
      <c r="N491">
        <f>IFERROR(__xludf.DUMMYFUNCTION("""COMPUTED_VALUE"""),43536.0)</f>
        <v>43536</v>
      </c>
      <c r="O491">
        <f>IFERROR(__xludf.DUMMYFUNCTION("""COMPUTED_VALUE"""),1635.0)</f>
        <v>1635</v>
      </c>
    </row>
    <row r="492">
      <c r="A492">
        <f>IFERROR(__xludf.DUMMYFUNCTION("""COMPUTED_VALUE"""),40.661045)</f>
        <v>40.661045</v>
      </c>
      <c r="B492">
        <f>IFERROR(__xludf.DUMMYFUNCTION("""COMPUTED_VALUE"""),16.610694)</f>
        <v>16.610694</v>
      </c>
      <c r="C492" t="str">
        <f>IFERROR(__xludf.DUMMYFUNCTION("""COMPUTED_VALUE"""),"Casa Vacanza")</f>
        <v>Casa Vacanza</v>
      </c>
      <c r="D492" t="str">
        <f>IFERROR(__xludf.DUMMYFUNCTION("""COMPUTED_VALUE"""),"VIALUCANA256")</f>
        <v>VIALUCANA256</v>
      </c>
      <c r="E492" t="str">
        <f>IFERROR(__xludf.DUMMYFUNCTION("""COMPUTED_VALUE"""),"MOLITERNI FRANCESCO PAOLO")</f>
        <v>MOLITERNI FRANCESCO PAOLO</v>
      </c>
      <c r="F492" t="str">
        <f>IFERROR(__xludf.DUMMYFUNCTION("""COMPUTED_VALUE"""),"VIA LUCANA 256")</f>
        <v>VIA LUCANA 256</v>
      </c>
      <c r="G492" t="str">
        <f>IFERROR(__xludf.DUMMYFUNCTION("""COMPUTED_VALUE"""),"Matera")</f>
        <v>Matera</v>
      </c>
      <c r="H492" t="str">
        <f>IFERROR(__xludf.DUMMYFUNCTION("""COMPUTED_VALUE"""),"Italy")</f>
        <v>Italy</v>
      </c>
      <c r="I492">
        <f>IFERROR(__xludf.DUMMYFUNCTION("""COMPUTED_VALUE"""),257.0)</f>
        <v>257</v>
      </c>
      <c r="J492">
        <f>IFERROR(__xludf.DUMMYFUNCTION("""COMPUTED_VALUE"""),17.0)</f>
        <v>17</v>
      </c>
      <c r="K492">
        <f>IFERROR(__xludf.DUMMYFUNCTION("""COMPUTED_VALUE"""),103.0)</f>
        <v>103</v>
      </c>
      <c r="L492">
        <f>IFERROR(__xludf.DUMMYFUNCTION("""COMPUTED_VALUE"""),1.295550774E9)</f>
        <v>1295550774</v>
      </c>
      <c r="M492">
        <f>IFERROR(__xludf.DUMMYFUNCTION("""COMPUTED_VALUE"""),5.0)</f>
        <v>5</v>
      </c>
      <c r="N492">
        <f>IFERROR(__xludf.DUMMYFUNCTION("""COMPUTED_VALUE"""),43524.0)</f>
        <v>43524</v>
      </c>
      <c r="O492">
        <f>IFERROR(__xludf.DUMMYFUNCTION("""COMPUTED_VALUE"""),1352.0)</f>
        <v>1352</v>
      </c>
    </row>
    <row r="493">
      <c r="A493">
        <f>IFERROR(__xludf.DUMMYFUNCTION("""COMPUTED_VALUE"""),40.660572)</f>
        <v>40.660572</v>
      </c>
      <c r="B493">
        <f>IFERROR(__xludf.DUMMYFUNCTION("""COMPUTED_VALUE"""),16.611515)</f>
        <v>16.611515</v>
      </c>
      <c r="C493" t="str">
        <f>IFERROR(__xludf.DUMMYFUNCTION("""COMPUTED_VALUE"""),"Casa Vacanza")</f>
        <v>Casa Vacanza</v>
      </c>
      <c r="D493" t="str">
        <f>IFERROR(__xludf.DUMMYFUNCTION("""COMPUTED_VALUE"""),"SASSOLINO HOME")</f>
        <v>SASSOLINO HOME</v>
      </c>
      <c r="E493" t="str">
        <f>IFERROR(__xludf.DUMMYFUNCTION("""COMPUTED_VALUE"""),"PISCIOTTA ADRIANA")</f>
        <v>PISCIOTTA ADRIANA</v>
      </c>
      <c r="F493" t="str">
        <f>IFERROR(__xludf.DUMMYFUNCTION("""COMPUTED_VALUE"""),"VIA LUCANA 276")</f>
        <v>VIA LUCANA 276</v>
      </c>
      <c r="G493" t="str">
        <f>IFERROR(__xludf.DUMMYFUNCTION("""COMPUTED_VALUE"""),"Matera")</f>
        <v>Matera</v>
      </c>
      <c r="H493" t="str">
        <f>IFERROR(__xludf.DUMMYFUNCTION("""COMPUTED_VALUE"""),"Italy")</f>
        <v>Italy</v>
      </c>
      <c r="I493">
        <f>IFERROR(__xludf.DUMMYFUNCTION("""COMPUTED_VALUE"""),198.0)</f>
        <v>198</v>
      </c>
      <c r="J493">
        <f>IFERROR(__xludf.DUMMYFUNCTION("""COMPUTED_VALUE"""),4.0)</f>
        <v>4</v>
      </c>
      <c r="K493">
        <f>IFERROR(__xludf.DUMMYFUNCTION("""COMPUTED_VALUE"""),103.0)</f>
        <v>103</v>
      </c>
      <c r="L493" t="str">
        <f>IFERROR(__xludf.DUMMYFUNCTION("""COMPUTED_VALUE"""),"PSCDRN01A45F052I")</f>
        <v>PSCDRN01A45F052I</v>
      </c>
      <c r="M493" t="str">
        <f>IFERROR(__xludf.DUMMYFUNCTION("""COMPUTED_VALUE"""),"")</f>
        <v/>
      </c>
      <c r="N493">
        <f>IFERROR(__xludf.DUMMYFUNCTION("""COMPUTED_VALUE"""),43549.0)</f>
        <v>43549</v>
      </c>
      <c r="O493">
        <f>IFERROR(__xludf.DUMMYFUNCTION("""COMPUTED_VALUE"""),1555.0)</f>
        <v>1555</v>
      </c>
    </row>
    <row r="494">
      <c r="A494">
        <f>IFERROR(__xludf.DUMMYFUNCTION("""COMPUTED_VALUE"""),40.670248)</f>
        <v>40.670248</v>
      </c>
      <c r="B494">
        <f>IFERROR(__xludf.DUMMYFUNCTION("""COMPUTED_VALUE"""),16.606546)</f>
        <v>16.606546</v>
      </c>
      <c r="C494" t="str">
        <f>IFERROR(__xludf.DUMMYFUNCTION("""COMPUTED_VALUE"""),"Casa Vacanza")</f>
        <v>Casa Vacanza</v>
      </c>
      <c r="D494" t="str">
        <f>IFERROR(__xludf.DUMMYFUNCTION("""COMPUTED_VALUE"""),"SASSI &amp; SOLE")</f>
        <v>SASSI &amp; SOLE</v>
      </c>
      <c r="E494" t="str">
        <f>IFERROR(__xludf.DUMMYFUNCTION("""COMPUTED_VALUE"""),"FONTANA GIOVANNI")</f>
        <v>FONTANA GIOVANNI</v>
      </c>
      <c r="F494" t="str">
        <f>IFERROR(__xludf.DUMMYFUNCTION("""COMPUTED_VALUE"""),"VIA TOMMASO STIGLIANI 86")</f>
        <v>VIA TOMMASO STIGLIANI 86</v>
      </c>
      <c r="G494" t="str">
        <f>IFERROR(__xludf.DUMMYFUNCTION("""COMPUTED_VALUE"""),"Matera")</f>
        <v>Matera</v>
      </c>
      <c r="H494" t="str">
        <f>IFERROR(__xludf.DUMMYFUNCTION("""COMPUTED_VALUE"""),"Italy")</f>
        <v>Italy</v>
      </c>
      <c r="I494">
        <f>IFERROR(__xludf.DUMMYFUNCTION("""COMPUTED_VALUE"""),3462.0)</f>
        <v>3462</v>
      </c>
      <c r="J494">
        <f>IFERROR(__xludf.DUMMYFUNCTION("""COMPUTED_VALUE"""),24.0)</f>
        <v>24</v>
      </c>
      <c r="K494">
        <f>IFERROR(__xludf.DUMMYFUNCTION("""COMPUTED_VALUE"""),159.0)</f>
        <v>159</v>
      </c>
      <c r="L494" t="str">
        <f>IFERROR(__xludf.DUMMYFUNCTION("""COMPUTED_VALUE"""),"FNTGNN65C29F052N")</f>
        <v>FNTGNN65C29F052N</v>
      </c>
      <c r="M494">
        <f>IFERROR(__xludf.DUMMYFUNCTION("""COMPUTED_VALUE"""),4.0)</f>
        <v>4</v>
      </c>
      <c r="N494">
        <f>IFERROR(__xludf.DUMMYFUNCTION("""COMPUTED_VALUE"""),43546.0)</f>
        <v>43546</v>
      </c>
      <c r="O494">
        <f>IFERROR(__xludf.DUMMYFUNCTION("""COMPUTED_VALUE"""),1905.0)</f>
        <v>1905</v>
      </c>
    </row>
    <row r="495">
      <c r="A495">
        <f>IFERROR(__xludf.DUMMYFUNCTION("""COMPUTED_VALUE"""),40.66408)</f>
        <v>40.66408</v>
      </c>
      <c r="B495">
        <f>IFERROR(__xludf.DUMMYFUNCTION("""COMPUTED_VALUE"""),16.61114)</f>
        <v>16.61114</v>
      </c>
      <c r="C495" t="str">
        <f>IFERROR(__xludf.DUMMYFUNCTION("""COMPUTED_VALUE"""),"Casa Vacanza")</f>
        <v>Casa Vacanza</v>
      </c>
      <c r="D495" t="str">
        <f>IFERROR(__xludf.DUMMYFUNCTION("""COMPUTED_VALUE"""),"PONTE SAN PIETRO")</f>
        <v>PONTE SAN PIETRO</v>
      </c>
      <c r="E495" t="str">
        <f>IFERROR(__xludf.DUMMYFUNCTION("""COMPUTED_VALUE"""),"LIONETTI FRANCESCO")</f>
        <v>LIONETTI FRANCESCO</v>
      </c>
      <c r="F495" t="str">
        <f>IFERROR(__xludf.DUMMYFUNCTION("""COMPUTED_VALUE"""),"VIA PONTE SAN PIETRO CAVEOSO 3")</f>
        <v>VIA PONTE SAN PIETRO CAVEOSO 3</v>
      </c>
      <c r="G495" t="str">
        <f>IFERROR(__xludf.DUMMYFUNCTION("""COMPUTED_VALUE"""),"Matera")</f>
        <v>Matera</v>
      </c>
      <c r="H495" t="str">
        <f>IFERROR(__xludf.DUMMYFUNCTION("""COMPUTED_VALUE"""),"Italy")</f>
        <v>Italy</v>
      </c>
      <c r="I495">
        <f>IFERROR(__xludf.DUMMYFUNCTION("""COMPUTED_VALUE"""),2115.0)</f>
        <v>2115</v>
      </c>
      <c r="J495">
        <f>IFERROR(__xludf.DUMMYFUNCTION("""COMPUTED_VALUE"""),1.0)</f>
        <v>1</v>
      </c>
      <c r="K495">
        <f>IFERROR(__xludf.DUMMYFUNCTION("""COMPUTED_VALUE"""),159.0)</f>
        <v>159</v>
      </c>
      <c r="L495" t="str">
        <f>IFERROR(__xludf.DUMMYFUNCTION("""COMPUTED_VALUE"""),"LNTFNC75R07A285B")</f>
        <v>LNTFNC75R07A285B</v>
      </c>
      <c r="M495">
        <f>IFERROR(__xludf.DUMMYFUNCTION("""COMPUTED_VALUE"""),4.0)</f>
        <v>4</v>
      </c>
      <c r="N495">
        <f>IFERROR(__xludf.DUMMYFUNCTION("""COMPUTED_VALUE"""),43547.0)</f>
        <v>43547</v>
      </c>
      <c r="O495">
        <f>IFERROR(__xludf.DUMMYFUNCTION("""COMPUTED_VALUE"""),2149.0)</f>
        <v>2149</v>
      </c>
    </row>
    <row r="496">
      <c r="A496">
        <f>IFERROR(__xludf.DUMMYFUNCTION("""COMPUTED_VALUE"""),40.672661)</f>
        <v>40.672661</v>
      </c>
      <c r="B496">
        <f>IFERROR(__xludf.DUMMYFUNCTION("""COMPUTED_VALUE"""),16.60052)</f>
        <v>16.60052</v>
      </c>
      <c r="C496" t="str">
        <f>IFERROR(__xludf.DUMMYFUNCTION("""COMPUTED_VALUE"""),"Casa Vacanze")</f>
        <v>Casa Vacanze</v>
      </c>
      <c r="D496" t="str">
        <f>IFERROR(__xludf.DUMMYFUNCTION("""COMPUTED_VALUE"""),"CASA VACANZE XENIA")</f>
        <v>CASA VACANZE XENIA</v>
      </c>
      <c r="E496" t="str">
        <f>IFERROR(__xludf.DUMMYFUNCTION("""COMPUTED_VALUE"""),"ADDOLORATA AMBROSECCHIA")</f>
        <v>ADDOLORATA AMBROSECCHIA</v>
      </c>
      <c r="F496" t="str">
        <f>IFERROR(__xludf.DUMMYFUNCTION("""COMPUTED_VALUE"""),"VIA DELLA CROCE 5")</f>
        <v>VIA DELLA CROCE 5</v>
      </c>
      <c r="G496" t="str">
        <f>IFERROR(__xludf.DUMMYFUNCTION("""COMPUTED_VALUE"""),"Matera")</f>
        <v>Matera</v>
      </c>
      <c r="H496" t="str">
        <f>IFERROR(__xludf.DUMMYFUNCTION("""COMPUTED_VALUE"""),"Italy")</f>
        <v>Italy</v>
      </c>
      <c r="I496">
        <f>IFERROR(__xludf.DUMMYFUNCTION("""COMPUTED_VALUE"""),966.0)</f>
        <v>966</v>
      </c>
      <c r="J496">
        <f>IFERROR(__xludf.DUMMYFUNCTION("""COMPUTED_VALUE"""),13.0)</f>
        <v>13</v>
      </c>
      <c r="K496">
        <f>IFERROR(__xludf.DUMMYFUNCTION("""COMPUTED_VALUE"""),71.0)</f>
        <v>71</v>
      </c>
      <c r="L496" t="str">
        <f>IFERROR(__xludf.DUMMYFUNCTION("""COMPUTED_VALUE"""),"MBRDLR63L54F052Z")</f>
        <v>MBRDLR63L54F052Z</v>
      </c>
      <c r="M496" t="str">
        <f>IFERROR(__xludf.DUMMYFUNCTION("""COMPUTED_VALUE"""),"")</f>
        <v/>
      </c>
      <c r="N496">
        <f>IFERROR(__xludf.DUMMYFUNCTION("""COMPUTED_VALUE"""),42824.0)</f>
        <v>42824</v>
      </c>
      <c r="O496">
        <f>IFERROR(__xludf.DUMMYFUNCTION("""COMPUTED_VALUE"""),1821.0)</f>
        <v>1821</v>
      </c>
    </row>
    <row r="497">
      <c r="A497">
        <f>IFERROR(__xludf.DUMMYFUNCTION("""COMPUTED_VALUE"""),40.657168)</f>
        <v>40.657168</v>
      </c>
      <c r="B497">
        <f>IFERROR(__xludf.DUMMYFUNCTION("""COMPUTED_VALUE"""),16.615991)</f>
        <v>16.615991</v>
      </c>
      <c r="C497" t="str">
        <f>IFERROR(__xludf.DUMMYFUNCTION("""COMPUTED_VALUE"""),"Casa Vacanza")</f>
        <v>Casa Vacanza</v>
      </c>
      <c r="D497" t="str">
        <f>IFERROR(__xludf.DUMMYFUNCTION("""COMPUTED_VALUE"""),"MURGIA HOUSE")</f>
        <v>MURGIA HOUSE</v>
      </c>
      <c r="E497" t="str">
        <f>IFERROR(__xludf.DUMMYFUNCTION("""COMPUTED_VALUE"""),"TERESA CEA")</f>
        <v>TERESA CEA</v>
      </c>
      <c r="F497" t="str">
        <f>IFERROR(__xludf.DUMMYFUNCTION("""COMPUTED_VALUE"""),"VIA LUCANA 333")</f>
        <v>VIA LUCANA 333</v>
      </c>
      <c r="G497" t="str">
        <f>IFERROR(__xludf.DUMMYFUNCTION("""COMPUTED_VALUE"""),"Matera")</f>
        <v>Matera</v>
      </c>
      <c r="H497" t="str">
        <f>IFERROR(__xludf.DUMMYFUNCTION("""COMPUTED_VALUE"""),"Italy")</f>
        <v>Italy</v>
      </c>
      <c r="I497">
        <f>IFERROR(__xludf.DUMMYFUNCTION("""COMPUTED_VALUE"""),119.0)</f>
        <v>119</v>
      </c>
      <c r="J497">
        <f>IFERROR(__xludf.DUMMYFUNCTION("""COMPUTED_VALUE"""),10.0)</f>
        <v>10</v>
      </c>
      <c r="K497">
        <f>IFERROR(__xludf.DUMMYFUNCTION("""COMPUTED_VALUE"""),105.0)</f>
        <v>105</v>
      </c>
      <c r="L497" t="str">
        <f>IFERROR(__xludf.DUMMYFUNCTION("""COMPUTED_VALUE"""),"CEATRS84L47F052P")</f>
        <v>CEATRS84L47F052P</v>
      </c>
      <c r="M497">
        <f>IFERROR(__xludf.DUMMYFUNCTION("""COMPUTED_VALUE"""),5.0)</f>
        <v>5</v>
      </c>
      <c r="N497">
        <f>IFERROR(__xludf.DUMMYFUNCTION("""COMPUTED_VALUE"""),43535.0)</f>
        <v>43535</v>
      </c>
      <c r="O497">
        <f>IFERROR(__xludf.DUMMYFUNCTION("""COMPUTED_VALUE"""),1020.0)</f>
        <v>1020</v>
      </c>
    </row>
    <row r="498">
      <c r="A498">
        <f>IFERROR(__xludf.DUMMYFUNCTION("""COMPUTED_VALUE"""),40.663653)</f>
        <v>40.663653</v>
      </c>
      <c r="B498">
        <f>IFERROR(__xludf.DUMMYFUNCTION("""COMPUTED_VALUE"""),16.601899)</f>
        <v>16.601899</v>
      </c>
      <c r="C498" t="str">
        <f>IFERROR(__xludf.DUMMYFUNCTION("""COMPUTED_VALUE"""),"Casa Vacanza")</f>
        <v>Casa Vacanza</v>
      </c>
      <c r="D498" t="str">
        <f>IFERROR(__xludf.DUMMYFUNCTION("""COMPUTED_VALUE"""),"CASA DANGI")</f>
        <v>CASA DANGI</v>
      </c>
      <c r="E498" t="str">
        <f>IFERROR(__xludf.DUMMYFUNCTION("""COMPUTED_VALUE"""),"D'ANGELLA ALESSANDRA")</f>
        <v>D'ANGELLA ALESSANDRA</v>
      </c>
      <c r="F498" t="str">
        <f>IFERROR(__xludf.DUMMYFUNCTION("""COMPUTED_VALUE"""),"VIA GRAMSCI 23 A")</f>
        <v>VIA GRAMSCI 23 A</v>
      </c>
      <c r="G498" t="str">
        <f>IFERROR(__xludf.DUMMYFUNCTION("""COMPUTED_VALUE"""),"Matera")</f>
        <v>Matera</v>
      </c>
      <c r="H498" t="str">
        <f>IFERROR(__xludf.DUMMYFUNCTION("""COMPUTED_VALUE"""),"Italy")</f>
        <v>Italy</v>
      </c>
      <c r="I498">
        <f>IFERROR(__xludf.DUMMYFUNCTION("""COMPUTED_VALUE"""),16.0)</f>
        <v>16</v>
      </c>
      <c r="J498">
        <f>IFERROR(__xludf.DUMMYFUNCTION("""COMPUTED_VALUE"""),19.0)</f>
        <v>19</v>
      </c>
      <c r="K498">
        <f>IFERROR(__xludf.DUMMYFUNCTION("""COMPUTED_VALUE"""),101.0)</f>
        <v>101</v>
      </c>
      <c r="L498" t="str">
        <f>IFERROR(__xludf.DUMMYFUNCTION("""COMPUTED_VALUE"""),"DNGLSN79P67E205P")</f>
        <v>DNGLSN79P67E205P</v>
      </c>
      <c r="M498">
        <f>IFERROR(__xludf.DUMMYFUNCTION("""COMPUTED_VALUE"""),2.0)</f>
        <v>2</v>
      </c>
      <c r="N498">
        <f>IFERROR(__xludf.DUMMYFUNCTION("""COMPUTED_VALUE"""),43551.0)</f>
        <v>43551</v>
      </c>
      <c r="O498">
        <f>IFERROR(__xludf.DUMMYFUNCTION("""COMPUTED_VALUE"""),1315.0)</f>
        <v>1315</v>
      </c>
    </row>
    <row r="499">
      <c r="A499">
        <f>IFERROR(__xludf.DUMMYFUNCTION("""COMPUTED_VALUE"""),40.665635)</f>
        <v>40.665635</v>
      </c>
      <c r="B499">
        <f>IFERROR(__xludf.DUMMYFUNCTION("""COMPUTED_VALUE"""),16.612959)</f>
        <v>16.612959</v>
      </c>
      <c r="C499" t="str">
        <f>IFERROR(__xludf.DUMMYFUNCTION("""COMPUTED_VALUE"""),"Casa Vacanza")</f>
        <v>Casa Vacanza</v>
      </c>
      <c r="D499" t="str">
        <f>IFERROR(__xludf.DUMMYFUNCTION("""COMPUTED_VALUE"""),"L'STALLA")</f>
        <v>L'STALLA</v>
      </c>
      <c r="E499" t="str">
        <f>IFERROR(__xludf.DUMMYFUNCTION("""COMPUTED_VALUE"""),"MASO BARTRINA ALEXANDRE")</f>
        <v>MASO BARTRINA ALEXANDRE</v>
      </c>
      <c r="F499" t="str">
        <f>IFERROR(__xludf.DUMMYFUNCTION("""COMPUTED_VALUE"""),"VIA MADONNA DELLE VIRTU' 31")</f>
        <v>VIA MADONNA DELLE VIRTU' 31</v>
      </c>
      <c r="G499" t="str">
        <f>IFERROR(__xludf.DUMMYFUNCTION("""COMPUTED_VALUE"""),"Matera")</f>
        <v>Matera</v>
      </c>
      <c r="H499" t="str">
        <f>IFERROR(__xludf.DUMMYFUNCTION("""COMPUTED_VALUE"""),"Italy")</f>
        <v>Italy</v>
      </c>
      <c r="I499">
        <f>IFERROR(__xludf.DUMMYFUNCTION("""COMPUTED_VALUE"""),4321.0)</f>
        <v>4321</v>
      </c>
      <c r="J499">
        <f>IFERROR(__xludf.DUMMYFUNCTION("""COMPUTED_VALUE"""),1.0)</f>
        <v>1</v>
      </c>
      <c r="K499">
        <f>IFERROR(__xludf.DUMMYFUNCTION("""COMPUTED_VALUE"""),159.0)</f>
        <v>159</v>
      </c>
      <c r="L499" t="str">
        <f>IFERROR(__xludf.DUMMYFUNCTION("""COMPUTED_VALUE"""),"MSBLND52TO5Z131K")</f>
        <v>MSBLND52TO5Z131K</v>
      </c>
      <c r="M499">
        <f>IFERROR(__xludf.DUMMYFUNCTION("""COMPUTED_VALUE"""),2.0)</f>
        <v>2</v>
      </c>
      <c r="N499">
        <f>IFERROR(__xludf.DUMMYFUNCTION("""COMPUTED_VALUE"""),43553.0)</f>
        <v>43553</v>
      </c>
      <c r="O499">
        <f>IFERROR(__xludf.DUMMYFUNCTION("""COMPUTED_VALUE"""),1545.0)</f>
        <v>1545</v>
      </c>
    </row>
    <row r="500">
      <c r="A500">
        <f>IFERROR(__xludf.DUMMYFUNCTION("""COMPUTED_VALUE"""),40.660001)</f>
        <v>40.660001</v>
      </c>
      <c r="B500">
        <f>IFERROR(__xludf.DUMMYFUNCTION("""COMPUTED_VALUE"""),16.603198)</f>
        <v>16.603198</v>
      </c>
      <c r="C500" t="str">
        <f>IFERROR(__xludf.DUMMYFUNCTION("""COMPUTED_VALUE"""),"Casa Vacanze")</f>
        <v>Casa Vacanze</v>
      </c>
      <c r="D500" t="str">
        <f>IFERROR(__xludf.DUMMYFUNCTION("""COMPUTED_VALUE"""),"CASA VACANZE LANERA")</f>
        <v>CASA VACANZE LANERA</v>
      </c>
      <c r="E500" t="str">
        <f>IFERROR(__xludf.DUMMYFUNCTION("""COMPUTED_VALUE"""),"LIONETTI EUSTACHIO")</f>
        <v>LIONETTI EUSTACHIO</v>
      </c>
      <c r="F500" t="str">
        <f>IFERROR(__xludf.DUMMYFUNCTION("""COMPUTED_VALUE"""),"VIA DEL GERANIO 7")</f>
        <v>VIA DEL GERANIO 7</v>
      </c>
      <c r="G500" t="str">
        <f>IFERROR(__xludf.DUMMYFUNCTION("""COMPUTED_VALUE"""),"Matera")</f>
        <v>Matera</v>
      </c>
      <c r="H500" t="str">
        <f>IFERROR(__xludf.DUMMYFUNCTION("""COMPUTED_VALUE"""),"Italy")</f>
        <v>Italy</v>
      </c>
      <c r="I500">
        <f>IFERROR(__xludf.DUMMYFUNCTION("""COMPUTED_VALUE"""),308.0)</f>
        <v>308</v>
      </c>
      <c r="J500">
        <f>IFERROR(__xludf.DUMMYFUNCTION("""COMPUTED_VALUE"""),22.0)</f>
        <v>22</v>
      </c>
      <c r="K500">
        <f>IFERROR(__xludf.DUMMYFUNCTION("""COMPUTED_VALUE"""),101.0)</f>
        <v>101</v>
      </c>
      <c r="L500" t="str">
        <f>IFERROR(__xludf.DUMMYFUNCTION("""COMPUTED_VALUE"""),"LNTSCH54E10F052B")</f>
        <v>LNTSCH54E10F052B</v>
      </c>
      <c r="M500" t="str">
        <f>IFERROR(__xludf.DUMMYFUNCTION("""COMPUTED_VALUE"""),"")</f>
        <v/>
      </c>
      <c r="N500">
        <f>IFERROR(__xludf.DUMMYFUNCTION("""COMPUTED_VALUE"""),43565.0)</f>
        <v>43565</v>
      </c>
      <c r="O500" t="str">
        <f>IFERROR(__xludf.DUMMYFUNCTION("""COMPUTED_VALUE"""),"")</f>
        <v/>
      </c>
    </row>
    <row r="501">
      <c r="A501">
        <f>IFERROR(__xludf.DUMMYFUNCTION("""COMPUTED_VALUE"""),40.659862)</f>
        <v>40.659862</v>
      </c>
      <c r="B501">
        <f>IFERROR(__xludf.DUMMYFUNCTION("""COMPUTED_VALUE"""),16.611344)</f>
        <v>16.611344</v>
      </c>
      <c r="C501" t="str">
        <f>IFERROR(__xludf.DUMMYFUNCTION("""COMPUTED_VALUE"""),"Casa Vacanza")</f>
        <v>Casa Vacanza</v>
      </c>
      <c r="D501" t="str">
        <f>IFERROR(__xludf.DUMMYFUNCTION("""COMPUTED_VALUE"""),"KARMA HOUSE")</f>
        <v>KARMA HOUSE</v>
      </c>
      <c r="E501" t="str">
        <f>IFERROR(__xludf.DUMMYFUNCTION("""COMPUTED_VALUE"""),"PORCARI CARMELA")</f>
        <v>PORCARI CARMELA</v>
      </c>
      <c r="F501" t="str">
        <f>IFERROR(__xludf.DUMMYFUNCTION("""COMPUTED_VALUE"""),"VIA GIUSTINO FORTUNATO 3")</f>
        <v>VIA GIUSTINO FORTUNATO 3</v>
      </c>
      <c r="G501" t="str">
        <f>IFERROR(__xludf.DUMMYFUNCTION("""COMPUTED_VALUE"""),"Matera")</f>
        <v>Matera</v>
      </c>
      <c r="H501" t="str">
        <f>IFERROR(__xludf.DUMMYFUNCTION("""COMPUTED_VALUE"""),"Italy")</f>
        <v>Italy</v>
      </c>
      <c r="I501">
        <f>IFERROR(__xludf.DUMMYFUNCTION("""COMPUTED_VALUE"""),223.0)</f>
        <v>223</v>
      </c>
      <c r="J501">
        <f>IFERROR(__xludf.DUMMYFUNCTION("""COMPUTED_VALUE"""),3.0)</f>
        <v>3</v>
      </c>
      <c r="K501">
        <f>IFERROR(__xludf.DUMMYFUNCTION("""COMPUTED_VALUE"""),103.0)</f>
        <v>103</v>
      </c>
      <c r="L501" t="str">
        <f>IFERROR(__xludf.DUMMYFUNCTION("""COMPUTED_VALUE"""),"PRCCML63C50F052X")</f>
        <v>PRCCML63C50F052X</v>
      </c>
      <c r="M501">
        <f>IFERROR(__xludf.DUMMYFUNCTION("""COMPUTED_VALUE"""),5.0)</f>
        <v>5</v>
      </c>
      <c r="N501">
        <f>IFERROR(__xludf.DUMMYFUNCTION("""COMPUTED_VALUE"""),43570.0)</f>
        <v>43570</v>
      </c>
      <c r="O501">
        <f>IFERROR(__xludf.DUMMYFUNCTION("""COMPUTED_VALUE"""),1237.0)</f>
        <v>1237</v>
      </c>
    </row>
    <row r="502">
      <c r="A502">
        <f>IFERROR(__xludf.DUMMYFUNCTION("""COMPUTED_VALUE"""),40.691652)</f>
        <v>40.691652</v>
      </c>
      <c r="B502">
        <f>IFERROR(__xludf.DUMMYFUNCTION("""COMPUTED_VALUE"""),16.581731)</f>
        <v>16.581731</v>
      </c>
      <c r="C502" t="str">
        <f>IFERROR(__xludf.DUMMYFUNCTION("""COMPUTED_VALUE"""),"Casa Vacanza")</f>
        <v>Casa Vacanza</v>
      </c>
      <c r="D502" t="str">
        <f>IFERROR(__xludf.DUMMYFUNCTION("""COMPUTED_VALUE"""),"IL CORBEZZOLO")</f>
        <v>IL CORBEZZOLO</v>
      </c>
      <c r="E502" t="str">
        <f>IFERROR(__xludf.DUMMYFUNCTION("""COMPUTED_VALUE"""),"FESTA NICOLA")</f>
        <v>FESTA NICOLA</v>
      </c>
      <c r="F502" t="str">
        <f>IFERROR(__xludf.DUMMYFUNCTION("""COMPUTED_VALUE"""),"VIA DEI LUCANI 55")</f>
        <v>VIA DEI LUCANI 55</v>
      </c>
      <c r="G502" t="str">
        <f>IFERROR(__xludf.DUMMYFUNCTION("""COMPUTED_VALUE"""),"Matera")</f>
        <v>Matera</v>
      </c>
      <c r="H502" t="str">
        <f>IFERROR(__xludf.DUMMYFUNCTION("""COMPUTED_VALUE"""),"Italy")</f>
        <v>Italy</v>
      </c>
      <c r="I502">
        <f>IFERROR(__xludf.DUMMYFUNCTION("""COMPUTED_VALUE"""),1041.0)</f>
        <v>1041</v>
      </c>
      <c r="J502">
        <f>IFERROR(__xludf.DUMMYFUNCTION("""COMPUTED_VALUE"""),6.0)</f>
        <v>6</v>
      </c>
      <c r="K502">
        <f>IFERROR(__xludf.DUMMYFUNCTION("""COMPUTED_VALUE"""),28.0)</f>
        <v>28</v>
      </c>
      <c r="L502" t="str">
        <f>IFERROR(__xludf.DUMMYFUNCTION("""COMPUTED_VALUE"""),"FSTNCL49H26F052M")</f>
        <v>FSTNCL49H26F052M</v>
      </c>
      <c r="M502">
        <f>IFERROR(__xludf.DUMMYFUNCTION("""COMPUTED_VALUE"""),3.0)</f>
        <v>3</v>
      </c>
      <c r="N502">
        <f>IFERROR(__xludf.DUMMYFUNCTION("""COMPUTED_VALUE"""),43553.0)</f>
        <v>43553</v>
      </c>
      <c r="O502">
        <f>IFERROR(__xludf.DUMMYFUNCTION("""COMPUTED_VALUE"""),1925.0)</f>
        <v>1925</v>
      </c>
    </row>
    <row r="503">
      <c r="A503">
        <f>IFERROR(__xludf.DUMMYFUNCTION("""COMPUTED_VALUE"""),40.67035)</f>
        <v>40.67035</v>
      </c>
      <c r="B503">
        <f>IFERROR(__xludf.DUMMYFUNCTION("""COMPUTED_VALUE"""),16.60924)</f>
        <v>16.60924</v>
      </c>
      <c r="C503" t="str">
        <f>IFERROR(__xludf.DUMMYFUNCTION("""COMPUTED_VALUE"""),"Casa Vacanza")</f>
        <v>Casa Vacanza</v>
      </c>
      <c r="D503" t="str">
        <f>IFERROR(__xludf.DUMMYFUNCTION("""COMPUTED_VALUE"""),"TWO CAVES SUITE")</f>
        <v>TWO CAVES SUITE</v>
      </c>
      <c r="E503" t="str">
        <f>IFERROR(__xludf.DUMMYFUNCTION("""COMPUTED_VALUE"""),"CAFARELLI NICOLA")</f>
        <v>CAFARELLI NICOLA</v>
      </c>
      <c r="F503" t="str">
        <f>IFERROR(__xludf.DUMMYFUNCTION("""COMPUTED_VALUE"""),"VICO DI VIA SANTA CESAREA 17")</f>
        <v>VICO DI VIA SANTA CESAREA 17</v>
      </c>
      <c r="G503" t="str">
        <f>IFERROR(__xludf.DUMMYFUNCTION("""COMPUTED_VALUE"""),"Matera")</f>
        <v>Matera</v>
      </c>
      <c r="H503" t="str">
        <f>IFERROR(__xludf.DUMMYFUNCTION("""COMPUTED_VALUE"""),"Italy")</f>
        <v>Italy</v>
      </c>
      <c r="I503">
        <f>IFERROR(__xludf.DUMMYFUNCTION("""COMPUTED_VALUE"""),159.0)</f>
        <v>159</v>
      </c>
      <c r="J503">
        <f>IFERROR(__xludf.DUMMYFUNCTION("""COMPUTED_VALUE"""),1.0)</f>
        <v>1</v>
      </c>
      <c r="K503">
        <f>IFERROR(__xludf.DUMMYFUNCTION("""COMPUTED_VALUE"""),59.0)</f>
        <v>59</v>
      </c>
      <c r="L503" t="str">
        <f>IFERROR(__xludf.DUMMYFUNCTION("""COMPUTED_VALUE"""),"CFRNCL81E16F052E")</f>
        <v>CFRNCL81E16F052E</v>
      </c>
      <c r="M503">
        <f>IFERROR(__xludf.DUMMYFUNCTION("""COMPUTED_VALUE"""),4.0)</f>
        <v>4</v>
      </c>
      <c r="N503">
        <f>IFERROR(__xludf.DUMMYFUNCTION("""COMPUTED_VALUE"""),43572.0)</f>
        <v>43572</v>
      </c>
      <c r="O503">
        <f>IFERROR(__xludf.DUMMYFUNCTION("""COMPUTED_VALUE"""),1706.0)</f>
        <v>1706</v>
      </c>
    </row>
    <row r="504">
      <c r="A504">
        <f>IFERROR(__xludf.DUMMYFUNCTION("""COMPUTED_VALUE"""),40.670429)</f>
        <v>40.670429</v>
      </c>
      <c r="B504">
        <f>IFERROR(__xludf.DUMMYFUNCTION("""COMPUTED_VALUE"""),16.606492)</f>
        <v>16.606492</v>
      </c>
      <c r="C504" t="str">
        <f>IFERROR(__xludf.DUMMYFUNCTION("""COMPUTED_VALUE"""),"Casa Vacanza")</f>
        <v>Casa Vacanza</v>
      </c>
      <c r="D504" t="str">
        <f>IFERROR(__xludf.DUMMYFUNCTION("""COMPUTED_VALUE"""),"ALLE VOLTE...")</f>
        <v>ALLE VOLTE...</v>
      </c>
      <c r="E504" t="str">
        <f>IFERROR(__xludf.DUMMYFUNCTION("""COMPUTED_VALUE"""),"TUCCI GIOVANNI")</f>
        <v>TUCCI GIOVANNI</v>
      </c>
      <c r="F504" t="str">
        <f>IFERROR(__xludf.DUMMYFUNCTION("""COMPUTED_VALUE"""),"VIA ONOFRIO TATARANNI 31")</f>
        <v>VIA ONOFRIO TATARANNI 31</v>
      </c>
      <c r="G504" t="str">
        <f>IFERROR(__xludf.DUMMYFUNCTION("""COMPUTED_VALUE"""),"Matera")</f>
        <v>Matera</v>
      </c>
      <c r="H504" t="str">
        <f>IFERROR(__xludf.DUMMYFUNCTION("""COMPUTED_VALUE"""),"Italy")</f>
        <v>Italy</v>
      </c>
      <c r="I504">
        <f>IFERROR(__xludf.DUMMYFUNCTION("""COMPUTED_VALUE"""),37.0)</f>
        <v>37</v>
      </c>
      <c r="J504">
        <f>IFERROR(__xludf.DUMMYFUNCTION("""COMPUTED_VALUE"""),67.0)</f>
        <v>67</v>
      </c>
      <c r="K504">
        <f>IFERROR(__xludf.DUMMYFUNCTION("""COMPUTED_VALUE"""),159.0)</f>
        <v>159</v>
      </c>
      <c r="L504" t="str">
        <f>IFERROR(__xludf.DUMMYFUNCTION("""COMPUTED_VALUE"""),"TCCGNIN71L27C136R")</f>
        <v>TCCGNIN71L27C136R</v>
      </c>
      <c r="M504">
        <f>IFERROR(__xludf.DUMMYFUNCTION("""COMPUTED_VALUE"""),4.0)</f>
        <v>4</v>
      </c>
      <c r="N504">
        <f>IFERROR(__xludf.DUMMYFUNCTION("""COMPUTED_VALUE"""),43565.0)</f>
        <v>43565</v>
      </c>
      <c r="O504" t="str">
        <f>IFERROR(__xludf.DUMMYFUNCTION("""COMPUTED_VALUE"""),"")</f>
        <v/>
      </c>
    </row>
    <row r="505">
      <c r="A505">
        <f>IFERROR(__xludf.DUMMYFUNCTION("""COMPUTED_VALUE"""),40.680562)</f>
        <v>40.680562</v>
      </c>
      <c r="B505">
        <f>IFERROR(__xludf.DUMMYFUNCTION("""COMPUTED_VALUE"""),16.583117)</f>
        <v>16.583117</v>
      </c>
      <c r="C505" t="str">
        <f>IFERROR(__xludf.DUMMYFUNCTION("""COMPUTED_VALUE"""),"Casa Vacanza")</f>
        <v>Casa Vacanza</v>
      </c>
      <c r="D505" t="str">
        <f>IFERROR(__xludf.DUMMYFUNCTION("""COMPUTED_VALUE"""),"YERRAZZA ZAFIRO")</f>
        <v>YERRAZZA ZAFIRO</v>
      </c>
      <c r="E505" t="str">
        <f>IFERROR(__xludf.DUMMYFUNCTION("""COMPUTED_VALUE"""),"GIANNOTTO FELICIA")</f>
        <v>GIANNOTTO FELICIA</v>
      </c>
      <c r="F505" t="str">
        <f>IFERROR(__xludf.DUMMYFUNCTION("""COMPUTED_VALUE"""),"VIA TITO LIVIO 6")</f>
        <v>VIA TITO LIVIO 6</v>
      </c>
      <c r="G505" t="str">
        <f>IFERROR(__xludf.DUMMYFUNCTION("""COMPUTED_VALUE"""),"Matera")</f>
        <v>Matera</v>
      </c>
      <c r="H505" t="str">
        <f>IFERROR(__xludf.DUMMYFUNCTION("""COMPUTED_VALUE"""),"Italy")</f>
        <v>Italy</v>
      </c>
      <c r="I505">
        <f>IFERROR(__xludf.DUMMYFUNCTION("""COMPUTED_VALUE"""),201.0)</f>
        <v>201</v>
      </c>
      <c r="J505">
        <f>IFERROR(__xludf.DUMMYFUNCTION("""COMPUTED_VALUE"""),11.0)</f>
        <v>11</v>
      </c>
      <c r="K505">
        <f>IFERROR(__xludf.DUMMYFUNCTION("""COMPUTED_VALUE"""),68.0)</f>
        <v>68</v>
      </c>
      <c r="L505" t="str">
        <f>IFERROR(__xludf.DUMMYFUNCTION("""COMPUTED_VALUE"""),"GNNFLC60L52I029Q")</f>
        <v>GNNFLC60L52I029Q</v>
      </c>
      <c r="M505">
        <f>IFERROR(__xludf.DUMMYFUNCTION("""COMPUTED_VALUE"""),6.0)</f>
        <v>6</v>
      </c>
      <c r="N505">
        <f>IFERROR(__xludf.DUMMYFUNCTION("""COMPUTED_VALUE"""),43578.0)</f>
        <v>43578</v>
      </c>
      <c r="O505">
        <f>IFERROR(__xludf.DUMMYFUNCTION("""COMPUTED_VALUE"""),2038.0)</f>
        <v>2038</v>
      </c>
    </row>
    <row r="506">
      <c r="A506">
        <f>IFERROR(__xludf.DUMMYFUNCTION("""COMPUTED_VALUE"""),40.652786)</f>
        <v>40.652786</v>
      </c>
      <c r="B506">
        <f>IFERROR(__xludf.DUMMYFUNCTION("""COMPUTED_VALUE"""),16.617777)</f>
        <v>16.617777</v>
      </c>
      <c r="C506" t="str">
        <f>IFERROR(__xludf.DUMMYFUNCTION("""COMPUTED_VALUE"""),"Casa Vacanza")</f>
        <v>Casa Vacanza</v>
      </c>
      <c r="D506" t="str">
        <f>IFERROR(__xludf.DUMMYFUNCTION("""COMPUTED_VALUE"""),"CASA LUCIA")</f>
        <v>CASA LUCIA</v>
      </c>
      <c r="E506" t="str">
        <f>IFERROR(__xludf.DUMMYFUNCTION("""COMPUTED_VALUE"""),"BUONO ANGELA ROSA")</f>
        <v>BUONO ANGELA ROSA</v>
      </c>
      <c r="F506" t="str">
        <f>IFERROR(__xludf.DUMMYFUNCTION("""COMPUTED_VALUE"""),"VIA EUSTACHIO PARADISO 19")</f>
        <v>VIA EUSTACHIO PARADISO 19</v>
      </c>
      <c r="G506" t="str">
        <f>IFERROR(__xludf.DUMMYFUNCTION("""COMPUTED_VALUE"""),"Matera")</f>
        <v>Matera</v>
      </c>
      <c r="H506" t="str">
        <f>IFERROR(__xludf.DUMMYFUNCTION("""COMPUTED_VALUE"""),"Italy")</f>
        <v>Italy</v>
      </c>
      <c r="I506">
        <f>IFERROR(__xludf.DUMMYFUNCTION("""COMPUTED_VALUE"""),171.0)</f>
        <v>171</v>
      </c>
      <c r="J506">
        <f>IFERROR(__xludf.DUMMYFUNCTION("""COMPUTED_VALUE"""),15.0)</f>
        <v>15</v>
      </c>
      <c r="K506">
        <f>IFERROR(__xludf.DUMMYFUNCTION("""COMPUTED_VALUE"""),105.0)</f>
        <v>105</v>
      </c>
      <c r="L506" t="str">
        <f>IFERROR(__xludf.DUMMYFUNCTION("""COMPUTED_VALUE"""),"BNUNLR57A69F052X")</f>
        <v>BNUNLR57A69F052X</v>
      </c>
      <c r="M506" t="str">
        <f>IFERROR(__xludf.DUMMYFUNCTION("""COMPUTED_VALUE"""),"")</f>
        <v/>
      </c>
      <c r="N506">
        <f>IFERROR(__xludf.DUMMYFUNCTION("""COMPUTED_VALUE"""),43497.0)</f>
        <v>43497</v>
      </c>
      <c r="O506">
        <f>IFERROR(__xludf.DUMMYFUNCTION("""COMPUTED_VALUE"""),1823.0)</f>
        <v>1823</v>
      </c>
    </row>
    <row r="507">
      <c r="A507">
        <f>IFERROR(__xludf.DUMMYFUNCTION("""COMPUTED_VALUE"""),40.665991)</f>
        <v>40.665991</v>
      </c>
      <c r="B507">
        <f>IFERROR(__xludf.DUMMYFUNCTION("""COMPUTED_VALUE"""),16.605172)</f>
        <v>16.605172</v>
      </c>
      <c r="C507" t="str">
        <f>IFERROR(__xludf.DUMMYFUNCTION("""COMPUTED_VALUE"""),"Casa Vacanza")</f>
        <v>Casa Vacanza</v>
      </c>
      <c r="D507" t="str">
        <f>IFERROR(__xludf.DUMMYFUNCTION("""COMPUTED_VALUE"""),"MAISON SILVI'")</f>
        <v>MAISON SILVI'</v>
      </c>
      <c r="E507" t="str">
        <f>IFERROR(__xludf.DUMMYFUNCTION("""COMPUTED_VALUE"""),"TERMOCENTRO SRL")</f>
        <v>TERMOCENTRO SRL</v>
      </c>
      <c r="F507" t="str">
        <f>IFERROR(__xludf.DUMMYFUNCTION("""COMPUTED_VALUE"""),"VIA LUCANA 73")</f>
        <v>VIA LUCANA 73</v>
      </c>
      <c r="G507" t="str">
        <f>IFERROR(__xludf.DUMMYFUNCTION("""COMPUTED_VALUE"""),"Matera")</f>
        <v>Matera</v>
      </c>
      <c r="H507" t="str">
        <f>IFERROR(__xludf.DUMMYFUNCTION("""COMPUTED_VALUE"""),"Italy")</f>
        <v>Italy</v>
      </c>
      <c r="I507">
        <f>IFERROR(__xludf.DUMMYFUNCTION("""COMPUTED_VALUE"""),4078.0)</f>
        <v>4078</v>
      </c>
      <c r="J507">
        <f>IFERROR(__xludf.DUMMYFUNCTION("""COMPUTED_VALUE"""),21.0)</f>
        <v>21</v>
      </c>
      <c r="K507">
        <f>IFERROR(__xludf.DUMMYFUNCTION("""COMPUTED_VALUE"""),159.0)</f>
        <v>159</v>
      </c>
      <c r="L507">
        <f>IFERROR(__xludf.DUMMYFUNCTION("""COMPUTED_VALUE"""),3.79700776E8)</f>
        <v>379700776</v>
      </c>
      <c r="M507" t="str">
        <f>IFERROR(__xludf.DUMMYFUNCTION("""COMPUTED_VALUE"""),"")</f>
        <v/>
      </c>
      <c r="N507">
        <f>IFERROR(__xludf.DUMMYFUNCTION("""COMPUTED_VALUE"""),43556.0)</f>
        <v>43556</v>
      </c>
      <c r="O507">
        <f>IFERROR(__xludf.DUMMYFUNCTION("""COMPUTED_VALUE"""),1836.0)</f>
        <v>1836</v>
      </c>
    </row>
    <row r="508">
      <c r="A508" t="str">
        <f>IFERROR(__xludf.DUMMYFUNCTION("""COMPUTED_VALUE"""),"")</f>
        <v/>
      </c>
      <c r="B508" t="str">
        <f>IFERROR(__xludf.DUMMYFUNCTION("""COMPUTED_VALUE"""),"")</f>
        <v/>
      </c>
      <c r="C508" t="str">
        <f>IFERROR(__xludf.DUMMYFUNCTION("""COMPUTED_VALUE"""),"Casa Vacanza")</f>
        <v>Casa Vacanza</v>
      </c>
      <c r="D508" t="str">
        <f>IFERROR(__xludf.DUMMYFUNCTION("""COMPUTED_VALUE"""),"NONNA MARIA CASA VACANZA")</f>
        <v>NONNA MARIA CASA VACANZA</v>
      </c>
      <c r="E508" t="str">
        <f>IFERROR(__xludf.DUMMYFUNCTION("""COMPUTED_VALUE"""),"GRAVELA DORA")</f>
        <v>GRAVELA DORA</v>
      </c>
      <c r="F508" t="str">
        <f>IFERROR(__xludf.DUMMYFUNCTION("""COMPUTED_VALUE"""),"LARGO DI VIA GENERALE ANTONIO P0ASSARELLI 6")</f>
        <v>LARGO DI VIA GENERALE ANTONIO P0ASSARELLI 6</v>
      </c>
      <c r="G508" t="str">
        <f>IFERROR(__xludf.DUMMYFUNCTION("""COMPUTED_VALUE"""),"Matera")</f>
        <v>Matera</v>
      </c>
      <c r="H508" t="str">
        <f>IFERROR(__xludf.DUMMYFUNCTION("""COMPUTED_VALUE"""),"Italy")</f>
        <v>Italy</v>
      </c>
      <c r="I508">
        <f>IFERROR(__xludf.DUMMYFUNCTION("""COMPUTED_VALUE"""),212.0)</f>
        <v>212</v>
      </c>
      <c r="J508">
        <f>IFERROR(__xludf.DUMMYFUNCTION("""COMPUTED_VALUE"""),7.0)</f>
        <v>7</v>
      </c>
      <c r="K508">
        <f>IFERROR(__xludf.DUMMYFUNCTION("""COMPUTED_VALUE"""),71.0)</f>
        <v>71</v>
      </c>
      <c r="L508" t="str">
        <f>IFERROR(__xludf.DUMMYFUNCTION("""COMPUTED_VALUE"""),"GRVDRO78H47F052Q")</f>
        <v>GRVDRO78H47F052Q</v>
      </c>
      <c r="M508">
        <f>IFERROR(__xludf.DUMMYFUNCTION("""COMPUTED_VALUE"""),4.0)</f>
        <v>4</v>
      </c>
      <c r="N508">
        <f>IFERROR(__xludf.DUMMYFUNCTION("""COMPUTED_VALUE"""),43590.0)</f>
        <v>43590</v>
      </c>
      <c r="O508">
        <f>IFERROR(__xludf.DUMMYFUNCTION("""COMPUTED_VALUE"""),918.0)</f>
        <v>918</v>
      </c>
    </row>
    <row r="509">
      <c r="A509" t="str">
        <f>IFERROR(__xludf.DUMMYFUNCTION("""COMPUTED_VALUE"""),"")</f>
        <v/>
      </c>
      <c r="B509" t="str">
        <f>IFERROR(__xludf.DUMMYFUNCTION("""COMPUTED_VALUE"""),"")</f>
        <v/>
      </c>
      <c r="C509" t="str">
        <f>IFERROR(__xludf.DUMMYFUNCTION("""COMPUTED_VALUE"""),"Casa Vacanza")</f>
        <v>Casa Vacanza</v>
      </c>
      <c r="D509" t="str">
        <f>IFERROR(__xludf.DUMMYFUNCTION("""COMPUTED_VALUE"""),"CASETTA AL GERANIO")</f>
        <v>CASETTA AL GERANIO</v>
      </c>
      <c r="E509" t="str">
        <f>IFERROR(__xludf.DUMMYFUNCTION("""COMPUTED_VALUE"""),"GIUSEPPINA DEZIO")</f>
        <v>GIUSEPPINA DEZIO</v>
      </c>
      <c r="F509" t="str">
        <f>IFERROR(__xludf.DUMMYFUNCTION("""COMPUTED_VALUE"""),"VIALE DEL GERANIO 8")</f>
        <v>VIALE DEL GERANIO 8</v>
      </c>
      <c r="G509" t="str">
        <f>IFERROR(__xludf.DUMMYFUNCTION("""COMPUTED_VALUE"""),"Matera")</f>
        <v>Matera</v>
      </c>
      <c r="H509" t="str">
        <f>IFERROR(__xludf.DUMMYFUNCTION("""COMPUTED_VALUE"""),"Italy")</f>
        <v>Italy</v>
      </c>
      <c r="I509">
        <f>IFERROR(__xludf.DUMMYFUNCTION("""COMPUTED_VALUE"""),305.0)</f>
        <v>305</v>
      </c>
      <c r="J509">
        <f>IFERROR(__xludf.DUMMYFUNCTION("""COMPUTED_VALUE"""),7.0)</f>
        <v>7</v>
      </c>
      <c r="K509">
        <f>IFERROR(__xludf.DUMMYFUNCTION("""COMPUTED_VALUE"""),101.0)</f>
        <v>101</v>
      </c>
      <c r="L509" t="str">
        <f>IFERROR(__xludf.DUMMYFUNCTION("""COMPUTED_VALUE"""),"DZEGPP79E65A225J")</f>
        <v>DZEGPP79E65A225J</v>
      </c>
      <c r="M509">
        <f>IFERROR(__xludf.DUMMYFUNCTION("""COMPUTED_VALUE"""),3.0)</f>
        <v>3</v>
      </c>
      <c r="N509">
        <f>IFERROR(__xludf.DUMMYFUNCTION("""COMPUTED_VALUE"""),43088.0)</f>
        <v>43088</v>
      </c>
      <c r="O509">
        <f>IFERROR(__xludf.DUMMYFUNCTION("""COMPUTED_VALUE"""),1657.0)</f>
        <v>1657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IFERROR(__xludf.DUMMYFUNCTION("IMPORTDATA(""https://docs.google.com/spreadsheets/d/e/2PACX-1vQhsSiULIL-ExcAIR3nhBiOSS0Qwrhzu_qmdZFQbpQYjeNV268U8Llg4i0l5RVyDJqLflxDpJdHLJxO/pub?gid=1817255838&amp;single=true&amp;output=csv"")"),"ID")</f>
        <v>ID</v>
      </c>
      <c r="B1" t="str">
        <f>IFERROR(__xludf.DUMMYFUNCTION("""COMPUTED_VALUE"""),"LAT")</f>
        <v>LAT</v>
      </c>
      <c r="C1" t="str">
        <f>IFERROR(__xludf.DUMMYFUNCTION("""COMPUTED_VALUE"""),"LON")</f>
        <v>LON</v>
      </c>
      <c r="D1" t="str">
        <f>IFERROR(__xludf.DUMMYFUNCTION("""COMPUTED_VALUE"""),"TIPOLOGIA")</f>
        <v>TIPOLOGIA</v>
      </c>
      <c r="E1" t="str">
        <f>IFERROR(__xludf.DUMMYFUNCTION("""COMPUTED_VALUE"""),"name")</f>
        <v>name</v>
      </c>
      <c r="F1" t="str">
        <f>IFERROR(__xludf.DUMMYFUNCTION("""COMPUTED_VALUE"""),"LEGALE_RA")</f>
        <v>LEGALE_RA</v>
      </c>
      <c r="G1" t="str">
        <f>IFERROR(__xludf.DUMMYFUNCTION("""COMPUTED_VALUE"""),"UBICAZIONE")</f>
        <v>UBICAZIONE</v>
      </c>
      <c r="H1" t="str">
        <f>IFERROR(__xludf.DUMMYFUNCTION("""COMPUTED_VALUE"""),"City")</f>
        <v>City</v>
      </c>
      <c r="I1" t="str">
        <f>IFERROR(__xludf.DUMMYFUNCTION("""COMPUTED_VALUE"""),"Country")</f>
        <v>Country</v>
      </c>
      <c r="J1" t="str">
        <f>IFERROR(__xludf.DUMMYFUNCTION("""COMPUTED_VALUE"""),"")</f>
        <v/>
      </c>
      <c r="K1" t="str">
        <f>IFERROR(__xludf.DUMMYFUNCTION("""COMPUTED_VALUE"""),"")</f>
        <v/>
      </c>
      <c r="L1" t="str">
        <f>IFERROR(__xludf.DUMMYFUNCTION("""COMPUTED_VALUE"""),"")</f>
        <v/>
      </c>
    </row>
    <row r="2">
      <c r="A2">
        <f>IFERROR(__xludf.DUMMYFUNCTION("""COMPUTED_VALUE"""),542.0)</f>
        <v>542</v>
      </c>
      <c r="B2">
        <f>IFERROR(__xludf.DUMMYFUNCTION("""COMPUTED_VALUE"""),40.6709165)</f>
        <v>40.6709165</v>
      </c>
      <c r="C2">
        <f>IFERROR(__xludf.DUMMYFUNCTION("""COMPUTED_VALUE"""),16.6316834)</f>
        <v>16.6316834</v>
      </c>
      <c r="D2" t="str">
        <f>IFERROR(__xludf.DUMMYFUNCTION("""COMPUTED_VALUE"""),"Aree Ricettive all'aperto")</f>
        <v>Aree Ricettive all'aperto</v>
      </c>
      <c r="E2" t="str">
        <f>IFERROR(__xludf.DUMMYFUNCTION("""COMPUTED_VALUE"""),"RADOGNA CAMP")</f>
        <v>RADOGNA CAMP</v>
      </c>
      <c r="F2" t="str">
        <f>IFERROR(__xludf.DUMMYFUNCTION("""COMPUTED_VALUE"""),"MATERACEA SRL PAOLO MONTAGNA")</f>
        <v>MATERACEA SRL PAOLO MONTAGNA</v>
      </c>
      <c r="G2" t="str">
        <f>IFERROR(__xludf.DUMMYFUNCTION("""COMPUTED_VALUE"""),"Masseria Radogna")</f>
        <v>Masseria Radogna</v>
      </c>
      <c r="H2" t="str">
        <f>IFERROR(__xludf.DUMMYFUNCTION("""COMPUTED_VALUE"""),"Matera")</f>
        <v>Matera</v>
      </c>
      <c r="I2" t="str">
        <f>IFERROR(__xludf.DUMMYFUNCTION("""COMPUTED_VALUE"""),"Italy")</f>
        <v>Italy</v>
      </c>
      <c r="J2" t="str">
        <f>IFERROR(__xludf.DUMMYFUNCTION("""COMPUTED_VALUE"""),"")</f>
        <v/>
      </c>
      <c r="K2" t="str">
        <f>IFERROR(__xludf.DUMMYFUNCTION("""COMPUTED_VALUE"""),"")</f>
        <v/>
      </c>
      <c r="L2" t="str">
        <f>IFERROR(__xludf.DUMMYFUNCTION("""COMPUTED_VALUE"""),"")</f>
        <v/>
      </c>
    </row>
    <row r="3">
      <c r="A3">
        <f>IFERROR(__xludf.DUMMYFUNCTION("""COMPUTED_VALUE"""),543.0)</f>
        <v>543</v>
      </c>
      <c r="B3">
        <f>IFERROR(__xludf.DUMMYFUNCTION("""COMPUTED_VALUE"""),40.666379)</f>
        <v>40.666379</v>
      </c>
      <c r="C3">
        <f>IFERROR(__xludf.DUMMYFUNCTION("""COMPUTED_VALUE"""),16.6043199)</f>
        <v>16.6043199</v>
      </c>
      <c r="D3" t="str">
        <f>IFERROR(__xludf.DUMMYFUNCTION("""COMPUTED_VALUE"""),"Casa religiosa di ospitalita'")</f>
        <v>Casa religiosa di ospitalita'</v>
      </c>
      <c r="E3" t="str">
        <f>IFERROR(__xludf.DUMMYFUNCTION("""COMPUTED_VALUE"""),"ala sx II piano villaggio del fanciullo")</f>
        <v>ala sx II piano villaggio del fanciullo</v>
      </c>
      <c r="F3" t="str">
        <f>IFERROR(__xludf.DUMMYFUNCTION("""COMPUTED_VALUE"""),"PADRI ROGAZIONISTI/ALESSANDRO POLIZZI")</f>
        <v>PADRI ROGAZIONISTI/ALESSANDRO POLIZZI</v>
      </c>
      <c r="G3" t="str">
        <f>IFERROR(__xludf.DUMMYFUNCTION("""COMPUTED_VALUE"""),"")</f>
        <v/>
      </c>
      <c r="H3" t="str">
        <f>IFERROR(__xludf.DUMMYFUNCTION("""COMPUTED_VALUE"""),"Matera")</f>
        <v>Matera</v>
      </c>
      <c r="I3" t="str">
        <f>IFERROR(__xludf.DUMMYFUNCTION("""COMPUTED_VALUE"""),"Italy")</f>
        <v>Italy</v>
      </c>
      <c r="J3" t="str">
        <f>IFERROR(__xludf.DUMMYFUNCTION("""COMPUTED_VALUE"""),"cessato")</f>
        <v>cessato</v>
      </c>
      <c r="K3" t="str">
        <f>IFERROR(__xludf.DUMMYFUNCTION("""COMPUTED_VALUE"""),"")</f>
        <v/>
      </c>
      <c r="L3" t="str">
        <f>IFERROR(__xludf.DUMMYFUNCTION("""COMPUTED_VALUE"""),"")</f>
        <v/>
      </c>
    </row>
    <row r="4">
      <c r="A4">
        <f>IFERROR(__xludf.DUMMYFUNCTION("""COMPUTED_VALUE"""),544.0)</f>
        <v>544</v>
      </c>
      <c r="B4">
        <f>IFERROR(__xludf.DUMMYFUNCTION("""COMPUTED_VALUE"""),40.661812)</f>
        <v>40.661812</v>
      </c>
      <c r="C4">
        <f>IFERROR(__xludf.DUMMYFUNCTION("""COMPUTED_VALUE"""),16.610742)</f>
        <v>16.610742</v>
      </c>
      <c r="D4" t="str">
        <f>IFERROR(__xludf.DUMMYFUNCTION("""COMPUTED_VALUE"""),"OSTELLO")</f>
        <v>OSTELLO</v>
      </c>
      <c r="E4" t="str">
        <f>IFERROR(__xludf.DUMMYFUNCTION("""COMPUTED_VALUE"""),"l'ostello dei sassi")</f>
        <v>l'ostello dei sassi</v>
      </c>
      <c r="F4" t="str">
        <f>IFERROR(__xludf.DUMMYFUNCTION("""COMPUTED_VALUE"""),"MATERAMA DI ROCCO CORRADO &amp; C.")</f>
        <v>MATERAMA DI ROCCO CORRADO &amp; C.</v>
      </c>
      <c r="G4" t="str">
        <f>IFERROR(__xludf.DUMMYFUNCTION("""COMPUTED_VALUE"""),"VIA CASALNUOVO 50")</f>
        <v>VIA CASALNUOVO 50</v>
      </c>
      <c r="H4" t="str">
        <f>IFERROR(__xludf.DUMMYFUNCTION("""COMPUTED_VALUE"""),"Matera")</f>
        <v>Matera</v>
      </c>
      <c r="I4" t="str">
        <f>IFERROR(__xludf.DUMMYFUNCTION("""COMPUTED_VALUE"""),"Italy")</f>
        <v>Italy</v>
      </c>
      <c r="J4">
        <f>IFERROR(__xludf.DUMMYFUNCTION("""COMPUTED_VALUE"""),6616720.0)</f>
        <v>6616720</v>
      </c>
      <c r="K4" t="str">
        <f>IFERROR(__xludf.DUMMYFUNCTION("""COMPUTED_VALUE"""),"")</f>
        <v/>
      </c>
      <c r="L4" t="str">
        <f>IFERROR(__xludf.DUMMYFUNCTION("""COMPUTED_VALUE"""),"")</f>
        <v/>
      </c>
    </row>
    <row r="5">
      <c r="A5">
        <f>IFERROR(__xludf.DUMMYFUNCTION("""COMPUTED_VALUE"""),545.0)</f>
        <v>545</v>
      </c>
      <c r="B5">
        <f>IFERROR(__xludf.DUMMYFUNCTION("""COMPUTED_VALUE"""),40.6727176)</f>
        <v>40.6727176</v>
      </c>
      <c r="C5">
        <f>IFERROR(__xludf.DUMMYFUNCTION("""COMPUTED_VALUE"""),16.6077398)</f>
        <v>16.6077398</v>
      </c>
      <c r="D5" t="str">
        <f>IFERROR(__xludf.DUMMYFUNCTION("""COMPUTED_VALUE"""),"OSTELLO")</f>
        <v>OSTELLO</v>
      </c>
      <c r="E5" t="str">
        <f>IFERROR(__xludf.DUMMYFUNCTION("""COMPUTED_VALUE"""),"THE ROCK HOSTEL")</f>
        <v>THE ROCK HOSTEL</v>
      </c>
      <c r="F5" t="str">
        <f>IFERROR(__xludf.DUMMYFUNCTION("""COMPUTED_VALUE"""),"CIANNELLA FRANCESCA")</f>
        <v>CIANNELLA FRANCESCA</v>
      </c>
      <c r="G5" t="str">
        <f>IFERROR(__xludf.DUMMYFUNCTION("""COMPUTED_VALUE"""),"VIA SANTO STEFANO 96")</f>
        <v>VIA SANTO STEFANO 96</v>
      </c>
      <c r="H5" t="str">
        <f>IFERROR(__xludf.DUMMYFUNCTION("""COMPUTED_VALUE"""),"Matera")</f>
        <v>Matera</v>
      </c>
      <c r="I5" t="str">
        <f>IFERROR(__xludf.DUMMYFUNCTION("""COMPUTED_VALUE"""),"Italy")</f>
        <v>Italy</v>
      </c>
      <c r="J5">
        <f>IFERROR(__xludf.DUMMYFUNCTION("""COMPUTED_VALUE"""),42529.0)</f>
        <v>42529</v>
      </c>
      <c r="K5" t="str">
        <f>IFERROR(__xludf.DUMMYFUNCTION("""COMPUTED_VALUE"""),"")</f>
        <v/>
      </c>
      <c r="L5" t="str">
        <f>IFERROR(__xludf.DUMMYFUNCTION("""COMPUTED_VALUE"""),"")</f>
        <v/>
      </c>
    </row>
    <row r="6">
      <c r="A6">
        <f>IFERROR(__xludf.DUMMYFUNCTION("""COMPUTED_VALUE"""),839.0)</f>
        <v>839</v>
      </c>
      <c r="B6">
        <f>IFERROR(__xludf.DUMMYFUNCTION("""COMPUTED_VALUE"""),40.662797)</f>
        <v>40.662797</v>
      </c>
      <c r="C6">
        <f>IFERROR(__xludf.DUMMYFUNCTION("""COMPUTED_VALUE"""),16.605177)</f>
        <v>16.605177</v>
      </c>
      <c r="D6" t="str">
        <f>IFERROR(__xludf.DUMMYFUNCTION("""COMPUTED_VALUE"""),"Casa per Ferie")</f>
        <v>Casa per Ferie</v>
      </c>
      <c r="E6" t="str">
        <f>IFERROR(__xludf.DUMMYFUNCTION("""COMPUTED_VALUE"""),"CASA DI SPIRITUALITA' S. ANNA")</f>
        <v>CASA DI SPIRITUALITA' S. ANNA</v>
      </c>
      <c r="F6" t="str">
        <f>IFERROR(__xludf.DUMMYFUNCTION("""COMPUTED_VALUE"""),"MONS. SALVATORE LIGUORIO")</f>
        <v>MONS. SALVATORE LIGUORIO</v>
      </c>
      <c r="G6" t="str">
        <f>IFERROR(__xludf.DUMMYFUNCTION("""COMPUTED_VALUE"""),"RECINTO MASTRONARDI 2E")</f>
        <v>RECINTO MASTRONARDI 2E</v>
      </c>
      <c r="H6" t="str">
        <f>IFERROR(__xludf.DUMMYFUNCTION("""COMPUTED_VALUE"""),"Matera")</f>
        <v>Matera</v>
      </c>
      <c r="I6" t="str">
        <f>IFERROR(__xludf.DUMMYFUNCTION("""COMPUTED_VALUE"""),"Italy")</f>
        <v>Italy</v>
      </c>
      <c r="J6">
        <f>IFERROR(__xludf.DUMMYFUNCTION("""COMPUTED_VALUE"""),40856.0)</f>
        <v>40856</v>
      </c>
      <c r="K6" t="str">
        <f>IFERROR(__xludf.DUMMYFUNCTION("""COMPUTED_VALUE"""),"")</f>
        <v/>
      </c>
      <c r="L6" t="str">
        <f>IFERROR(__xludf.DUMMYFUNCTION("""COMPUTED_VALUE"""),"")</f>
        <v/>
      </c>
    </row>
    <row r="7">
      <c r="A7">
        <f>IFERROR(__xludf.DUMMYFUNCTION("""COMPUTED_VALUE"""),840.0)</f>
        <v>840</v>
      </c>
      <c r="B7">
        <f>IFERROR(__xludf.DUMMYFUNCTION("""COMPUTED_VALUE"""),40.668666)</f>
        <v>40.668666</v>
      </c>
      <c r="C7">
        <f>IFERROR(__xludf.DUMMYFUNCTION("""COMPUTED_VALUE"""),16.607355)</f>
        <v>16.607355</v>
      </c>
      <c r="D7" t="str">
        <f>IFERROR(__xludf.DUMMYFUNCTION("""COMPUTED_VALUE"""),"Casa per Ferie")</f>
        <v>Casa per Ferie</v>
      </c>
      <c r="E7" t="str">
        <f>IFERROR(__xludf.DUMMYFUNCTION("""COMPUTED_VALUE"""),"ISTITUTO SACRO CUORE")</f>
        <v>ISTITUTO SACRO CUORE</v>
      </c>
      <c r="F7" t="str">
        <f>IFERROR(__xludf.DUMMYFUNCTION("""COMPUTED_VALUE"""),"SUORE DEL SACRO CUORE")</f>
        <v>SUORE DEL SACRO CUORE</v>
      </c>
      <c r="G7" t="str">
        <f>IFERROR(__xludf.DUMMYFUNCTION("""COMPUTED_VALUE"""),"RECINTO MARIO PAGANO")</f>
        <v>RECINTO MARIO PAGANO</v>
      </c>
      <c r="H7" t="str">
        <f>IFERROR(__xludf.DUMMYFUNCTION("""COMPUTED_VALUE"""),"Matera")</f>
        <v>Matera</v>
      </c>
      <c r="I7" t="str">
        <f>IFERROR(__xludf.DUMMYFUNCTION("""COMPUTED_VALUE"""),"Italy")</f>
        <v>Italy</v>
      </c>
      <c r="J7">
        <f>IFERROR(__xludf.DUMMYFUNCTION("""COMPUTED_VALUE"""),38448.0)</f>
        <v>38448</v>
      </c>
      <c r="K7" t="str">
        <f>IFERROR(__xludf.DUMMYFUNCTION("""COMPUTED_VALUE"""),"")</f>
        <v/>
      </c>
      <c r="L7" t="str">
        <f>IFERROR(__xludf.DUMMYFUNCTION("""COMPUTED_VALUE"""),"")</f>
        <v/>
      </c>
    </row>
    <row r="8">
      <c r="A8">
        <f>IFERROR(__xludf.DUMMYFUNCTION("""COMPUTED_VALUE"""),841.0)</f>
        <v>841</v>
      </c>
      <c r="B8">
        <f>IFERROR(__xludf.DUMMYFUNCTION("""COMPUTED_VALUE"""),40.667228)</f>
        <v>40.667228</v>
      </c>
      <c r="C8">
        <f>IFERROR(__xludf.DUMMYFUNCTION("""COMPUTED_VALUE"""),16.611243)</f>
        <v>16.611243</v>
      </c>
      <c r="D8" t="str">
        <f>IFERROR(__xludf.DUMMYFUNCTION("""COMPUTED_VALUE"""),"Casa per Ferie")</f>
        <v>Casa per Ferie</v>
      </c>
      <c r="E8" t="str">
        <f>IFERROR(__xludf.DUMMYFUNCTION("""COMPUTED_VALUE"""),"LE MONACELLE")</f>
        <v>LE MONACELLE</v>
      </c>
      <c r="F8" t="str">
        <f>IFERROR(__xludf.DUMMYFUNCTION("""COMPUTED_VALUE"""),"AMBROSECCHIA SALVATORE ANTONIETTA")</f>
        <v>AMBROSECCHIA SALVATORE ANTONIETTA</v>
      </c>
      <c r="G8" t="str">
        <f>IFERROR(__xludf.DUMMYFUNCTION("""COMPUTED_VALUE"""),"VIA RISCATTO 9-10")</f>
        <v>VIA RISCATTO 9-10</v>
      </c>
      <c r="H8" t="str">
        <f>IFERROR(__xludf.DUMMYFUNCTION("""COMPUTED_VALUE"""),"Matera")</f>
        <v>Matera</v>
      </c>
      <c r="I8" t="str">
        <f>IFERROR(__xludf.DUMMYFUNCTION("""COMPUTED_VALUE"""),"Italy")</f>
        <v>Italy</v>
      </c>
      <c r="J8">
        <f>IFERROR(__xludf.DUMMYFUNCTION("""COMPUTED_VALUE"""),40884.0)</f>
        <v>40884</v>
      </c>
      <c r="K8" t="str">
        <f>IFERROR(__xludf.DUMMYFUNCTION("""COMPUTED_VALUE"""),"")</f>
        <v/>
      </c>
      <c r="L8" t="str">
        <f>IFERROR(__xludf.DUMMYFUNCTION("""COMPUTED_VALUE"""),"")</f>
        <v/>
      </c>
    </row>
    <row r="9">
      <c r="A9">
        <f>IFERROR(__xludf.DUMMYFUNCTION("""COMPUTED_VALUE"""),842.0)</f>
        <v>842</v>
      </c>
      <c r="B9">
        <f>IFERROR(__xludf.DUMMYFUNCTION("""COMPUTED_VALUE"""),40.639796)</f>
        <v>40.639796</v>
      </c>
      <c r="C9">
        <f>IFERROR(__xludf.DUMMYFUNCTION("""COMPUTED_VALUE"""),16.594616)</f>
        <v>16.594616</v>
      </c>
      <c r="D9" t="str">
        <f>IFERROR(__xludf.DUMMYFUNCTION("""COMPUTED_VALUE"""),"TURISMO RURALE")</f>
        <v>TURISMO RURALE</v>
      </c>
      <c r="E9" t="str">
        <f>IFERROR(__xludf.DUMMYFUNCTION("""COMPUTED_VALUE"""),"TERRA DEI SASSI")</f>
        <v>TERRA DEI SASSI</v>
      </c>
      <c r="F9" t="str">
        <f>IFERROR(__xludf.DUMMYFUNCTION("""COMPUTED_VALUE"""),"FRANCO GRANIERI")</f>
        <v>FRANCO GRANIERI</v>
      </c>
      <c r="G9" t="str">
        <f>IFERROR(__xludf.DUMMYFUNCTION("""COMPUTED_VALUE"""),"CONTRADA SANT'ELIGIO")</f>
        <v>CONTRADA SANT'ELIGIO</v>
      </c>
      <c r="H9" t="str">
        <f>IFERROR(__xludf.DUMMYFUNCTION("""COMPUTED_VALUE"""),"Matera")</f>
        <v>Matera</v>
      </c>
      <c r="I9" t="str">
        <f>IFERROR(__xludf.DUMMYFUNCTION("""COMPUTED_VALUE"""),"Italy")</f>
        <v>Italy</v>
      </c>
      <c r="J9" t="str">
        <f>IFERROR(__xludf.DUMMYFUNCTION("""COMPUTED_VALUE"""),"")</f>
        <v/>
      </c>
      <c r="K9" t="str">
        <f>IFERROR(__xludf.DUMMYFUNCTION("""COMPUTED_VALUE"""),"")</f>
        <v/>
      </c>
      <c r="L9" t="str">
        <f>IFERROR(__xludf.DUMMYFUNCTION("""COMPUTED_VALUE"""),"")</f>
        <v/>
      </c>
    </row>
    <row r="10">
      <c r="A10">
        <f>IFERROR(__xludf.DUMMYFUNCTION("""COMPUTED_VALUE"""),843.0)</f>
        <v>843</v>
      </c>
      <c r="B10">
        <f>IFERROR(__xludf.DUMMYFUNCTION("""COMPUTED_VALUE"""),40.664835)</f>
        <v>40.664835</v>
      </c>
      <c r="C10">
        <f>IFERROR(__xludf.DUMMYFUNCTION("""COMPUTED_VALUE"""),16.488199)</f>
        <v>16.488199</v>
      </c>
      <c r="D10" t="str">
        <f>IFERROR(__xludf.DUMMYFUNCTION("""COMPUTED_VALUE"""),"casa religiosa di ospitalita'")</f>
        <v>casa religiosa di ospitalita'</v>
      </c>
      <c r="E10" t="str">
        <f>IFERROR(__xludf.DUMMYFUNCTION("""COMPUTED_VALUE"""),"ADOTTIAMO UN VESCOVO EMERITO")</f>
        <v>ADOTTIAMO UN VESCOVO EMERITO</v>
      </c>
      <c r="F10" t="str">
        <f>IFERROR(__xludf.DUMMYFUNCTION("""COMPUTED_VALUE"""),"")</f>
        <v/>
      </c>
      <c r="G10" t="str">
        <f>IFERROR(__xludf.DUMMYFUNCTION("""COMPUTED_VALUE"""),"CONTRADA TIMMARI")</f>
        <v>CONTRADA TIMMARI</v>
      </c>
      <c r="H10" t="str">
        <f>IFERROR(__xludf.DUMMYFUNCTION("""COMPUTED_VALUE"""),"Matera")</f>
        <v>Matera</v>
      </c>
      <c r="I10" t="str">
        <f>IFERROR(__xludf.DUMMYFUNCTION("""COMPUTED_VALUE"""),"Italy")</f>
        <v>Italy</v>
      </c>
      <c r="J10" t="str">
        <f>IFERROR(__xludf.DUMMYFUNCTION("""COMPUTED_VALUE"""),"")</f>
        <v/>
      </c>
      <c r="K10" t="str">
        <f>IFERROR(__xludf.DUMMYFUNCTION("""COMPUTED_VALUE"""),"")</f>
        <v/>
      </c>
      <c r="L10" t="str">
        <f>IFERROR(__xludf.DUMMYFUNCTION("""COMPUTED_VALUE"""),"")</f>
        <v/>
      </c>
    </row>
    <row r="11">
      <c r="A11">
        <f>IFERROR(__xludf.DUMMYFUNCTION("""COMPUTED_VALUE"""),844.0)</f>
        <v>844</v>
      </c>
      <c r="B11">
        <f>IFERROR(__xludf.DUMMYFUNCTION("""COMPUTED_VALUE"""),40.666827)</f>
        <v>40.666827</v>
      </c>
      <c r="C11">
        <f>IFERROR(__xludf.DUMMYFUNCTION("""COMPUTED_VALUE"""),16.613438)</f>
        <v>16.613438</v>
      </c>
      <c r="D11" t="str">
        <f>IFERROR(__xludf.DUMMYFUNCTION("""COMPUTED_VALUE"""),"Casa per ferie")</f>
        <v>Casa per ferie</v>
      </c>
      <c r="E11" t="str">
        <f>IFERROR(__xludf.DUMMYFUNCTION("""COMPUTED_VALUE"""),"IL CARRUBO")</f>
        <v>IL CARRUBO</v>
      </c>
      <c r="F11" t="str">
        <f>IFERROR(__xludf.DUMMYFUNCTION("""COMPUTED_VALUE"""),"APD IL CARRUBO")</f>
        <v>APD IL CARRUBO</v>
      </c>
      <c r="G11" t="str">
        <f>IFERROR(__xludf.DUMMYFUNCTION("""COMPUTED_VALUE"""),"VIA SAN POTITO/ REC.OSPEDALE VECCHIO 20-21-22-23-12")</f>
        <v>VIA SAN POTITO/ REC.OSPEDALE VECCHIO 20-21-22-23-12</v>
      </c>
      <c r="H11" t="str">
        <f>IFERROR(__xludf.DUMMYFUNCTION("""COMPUTED_VALUE"""),"Matera")</f>
        <v>Matera</v>
      </c>
      <c r="I11" t="str">
        <f>IFERROR(__xludf.DUMMYFUNCTION("""COMPUTED_VALUE"""),"Italy")</f>
        <v>Italy</v>
      </c>
      <c r="J11">
        <f>IFERROR(__xludf.DUMMYFUNCTION("""COMPUTED_VALUE"""),43507.0)</f>
        <v>43507</v>
      </c>
      <c r="K11" t="str">
        <f>IFERROR(__xludf.DUMMYFUNCTION("""COMPUTED_VALUE"""),"")</f>
        <v/>
      </c>
      <c r="L11" t="str">
        <f>IFERROR(__xludf.DUMMYFUNCTION("""COMPUTED_VALUE"""),"POSTI LETTO13")</f>
        <v>POSTI LETTO13</v>
      </c>
    </row>
  </sheetData>
  <drawing r:id="rId1"/>
</worksheet>
</file>