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aseykimble/Desktop/Analysis Projects/Module 1 - Crowdfunding Analysis/Resubmission/"/>
    </mc:Choice>
  </mc:AlternateContent>
  <xr:revisionPtr revIDLastSave="0" documentId="13_ncr:1_{A321C0FA-6874-B24D-9084-442E2D9EBF4B}" xr6:coauthVersionLast="47" xr6:coauthVersionMax="47" xr10:uidLastSave="{00000000-0000-0000-0000-000000000000}"/>
  <bookViews>
    <workbookView minimized="1" xWindow="300" yWindow="1200" windowWidth="29940" windowHeight="17160" activeTab="1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Category Statistics" sheetId="2" r:id="rId4"/>
    <sheet name="Subcategory Statistics" sheetId="3" r:id="rId5"/>
    <sheet name="Outcomes Based on Launch Date" sheetId="4" r:id="rId6"/>
  </sheets>
  <definedNames>
    <definedName name="_xlnm._FilterDatabase" localSheetId="2" hidden="1">Kickstarter!$A$1:$T$4115</definedName>
  </definedNames>
  <calcPr calcId="191029"/>
  <pivotCaches>
    <pivotCache cacheId="3" r:id="rId7"/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F3" i="11"/>
  <c r="F4" i="11"/>
  <c r="F5" i="11"/>
  <c r="F6" i="11"/>
  <c r="F7" i="11"/>
  <c r="F8" i="11"/>
  <c r="F9" i="11"/>
  <c r="F10" i="11"/>
  <c r="F11" i="11"/>
  <c r="F12" i="11"/>
  <c r="F13" i="11"/>
  <c r="F2" i="11"/>
  <c r="G3" i="11"/>
  <c r="G4" i="11"/>
  <c r="G5" i="11"/>
  <c r="G6" i="11"/>
  <c r="G7" i="11"/>
  <c r="G8" i="11"/>
  <c r="G9" i="11"/>
  <c r="G10" i="11"/>
  <c r="G11" i="11"/>
  <c r="G12" i="11"/>
  <c r="G13" i="11"/>
  <c r="G2" i="11"/>
  <c r="D13" i="1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4" i="11"/>
  <c r="B3" i="11"/>
  <c r="D2" i="11"/>
  <c r="C2" i="11"/>
  <c r="B2" i="11"/>
  <c r="U2815" i="1"/>
  <c r="U3132" i="1"/>
  <c r="U3592" i="1"/>
  <c r="U364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1" l="1"/>
  <c r="E2" i="11"/>
  <c r="E13" i="11"/>
  <c r="E12" i="11"/>
  <c r="E11" i="11"/>
  <c r="E10" i="11"/>
  <c r="E9" i="11"/>
  <c r="E8" i="11"/>
  <c r="E7" i="11"/>
  <c r="E6" i="11"/>
  <c r="E5" i="11"/>
  <c r="E4" i="11"/>
</calcChain>
</file>

<file path=xl/sharedStrings.xml><?xml version="1.0" encoding="utf-8"?>
<sst xmlns="http://schemas.openxmlformats.org/spreadsheetml/2006/main" count="33025" uniqueCount="8400">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</sst>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0" fontId="0" fillId="0" borderId="0" xfId="0" applyNumberFormat="1"/>
    <xf numFmtId="165" fontId="0" fillId="0" borderId="0" xfId="0" applyNumberFormat="1"/>
    <xf numFmtId="10" fontId="2" fillId="0" borderId="0" xfId="0" applyNumberFormat="1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9147690813192217"/>
          <c:y val="3.63086232980332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52-C643-9E9F-4E3C47CD2CC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52-C643-9E9F-4E3C47CD2CC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52-C643-9E9F-4E3C47CD2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819344"/>
        <c:axId val="247938047"/>
      </c:lineChart>
      <c:catAx>
        <c:axId val="78881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938047"/>
        <c:crosses val="autoZero"/>
        <c:auto val="1"/>
        <c:lblAlgn val="ctr"/>
        <c:lblOffset val="100"/>
        <c:noMultiLvlLbl val="0"/>
      </c:catAx>
      <c:valAx>
        <c:axId val="24793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1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1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86-364A-9D24-39050A23295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86-364A-9D24-39050A23295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86-364A-9D24-39050A232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5974912"/>
        <c:axId val="762657104"/>
      </c:lineChart>
      <c:catAx>
        <c:axId val="174597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657104"/>
        <c:crosses val="autoZero"/>
        <c:auto val="1"/>
        <c:lblAlgn val="ctr"/>
        <c:lblOffset val="100"/>
        <c:noMultiLvlLbl val="0"/>
      </c:catAx>
      <c:valAx>
        <c:axId val="76265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97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378932111098051"/>
          <c:y val="4.986149584487534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77-CD48-9068-77C1CE34D56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77-CD48-9068-77C1CE34D56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77-CD48-9068-77C1CE34D56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77-CD48-9068-77C1CE34D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0047328"/>
        <c:axId val="790250640"/>
      </c:barChart>
      <c:catAx>
        <c:axId val="7900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250640"/>
        <c:crosses val="autoZero"/>
        <c:auto val="1"/>
        <c:lblAlgn val="ctr"/>
        <c:lblOffset val="100"/>
        <c:noMultiLvlLbl val="0"/>
      </c:catAx>
      <c:valAx>
        <c:axId val="79025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4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87-D544-B8DB-B4A889292C6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87-D544-B8DB-B4A889292C6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87-D544-B8DB-B4A889292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6298976"/>
        <c:axId val="2125593104"/>
      </c:barChart>
      <c:catAx>
        <c:axId val="90629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593104"/>
        <c:crosses val="autoZero"/>
        <c:auto val="1"/>
        <c:lblAlgn val="ctr"/>
        <c:lblOffset val="100"/>
        <c:noMultiLvlLbl val="0"/>
      </c:catAx>
      <c:valAx>
        <c:axId val="212559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29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36-0942-96C8-F18EA8FE805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36-0942-96C8-F18EA8FE805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36-0942-96C8-F18EA8FE805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36-0942-96C8-F18EA8FE8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85359"/>
        <c:axId val="69556639"/>
      </c:lineChart>
      <c:catAx>
        <c:axId val="6938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6639"/>
        <c:crosses val="autoZero"/>
        <c:auto val="1"/>
        <c:lblAlgn val="ctr"/>
        <c:lblOffset val="100"/>
        <c:noMultiLvlLbl val="0"/>
      </c:catAx>
      <c:valAx>
        <c:axId val="6955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8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2</xdr:row>
      <xdr:rowOff>107950</xdr:rowOff>
    </xdr:from>
    <xdr:to>
      <xdr:col>15</xdr:col>
      <xdr:colOff>177800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9B0E0-D887-751C-9F51-D58C3BCC8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4</xdr:row>
      <xdr:rowOff>44450</xdr:rowOff>
    </xdr:from>
    <xdr:to>
      <xdr:col>18</xdr:col>
      <xdr:colOff>63500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14E6E6-F1A0-2066-86DB-12FE7B418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2</xdr:row>
      <xdr:rowOff>63500</xdr:rowOff>
    </xdr:from>
    <xdr:to>
      <xdr:col>17</xdr:col>
      <xdr:colOff>520700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8FF5C0-D35B-7526-07BB-3E2F6DFB2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260350</xdr:colOff>
      <xdr:row>6</xdr:row>
      <xdr:rowOff>120650</xdr:rowOff>
    </xdr:from>
    <xdr:to>
      <xdr:col>17</xdr:col>
      <xdr:colOff>304800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8A728-C5B0-0277-D424-50D8A29AA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3</xdr:row>
      <xdr:rowOff>171450</xdr:rowOff>
    </xdr:from>
    <xdr:to>
      <xdr:col>16</xdr:col>
      <xdr:colOff>381000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CB026-6E11-6C98-C9E4-A09D8B200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k" refreshedDate="44859.548416782411" createdVersion="8" refreshedVersion="8" minRefreshableVersion="3" recordCount="4114" xr:uid="{20627EB0-3FB1-2445-920E-A11923732DC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k" refreshedDate="44859.567726273148" createdVersion="8" refreshedVersion="8" minRefreshableVersion="3" recordCount="4114" xr:uid="{17D5560E-4838-B841-9FDB-F56C7ADCFEA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k" refreshedDate="44859.71349652778" createdVersion="8" refreshedVersion="8" minRefreshableVersion="3" recordCount="4115" xr:uid="{9ED1214F-FFDE-464E-A2EC-4AAFDADF385D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4DE82-6F03-8140-B57A-907B0072258B}" name="PivotTable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783CD2-FA06-2749-AB72-7A37E011EC02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D8846-CBE6-434A-8107-8AB752CD43CB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C23CF8-872E-1040-BC5D-2CCB802A2F7E}" name="PivotTable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55026-BD6B-3F43-8E75-399EFB6F141E}">
  <sheetPr codeName="Sheet1"/>
  <dimension ref="A1:E18"/>
  <sheetViews>
    <sheetView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17164-C404-724B-A296-71EF96DFEEA0}">
  <sheetPr codeName="Sheet2"/>
  <dimension ref="A1:I13"/>
  <sheetViews>
    <sheetView tabSelected="1" workbookViewId="0">
      <selection activeCellId="1" sqref="F1:H13 A1:A13"/>
    </sheetView>
  </sheetViews>
  <sheetFormatPr baseColWidth="10" defaultRowHeight="24" customHeight="1" x14ac:dyDescent="0.2"/>
  <cols>
    <col min="1" max="1" width="15.83203125" style="18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bestFit="1" customWidth="1"/>
    <col min="7" max="7" width="15.83203125" bestFit="1" customWidth="1"/>
    <col min="8" max="8" width="18.33203125" style="19" bestFit="1" customWidth="1"/>
  </cols>
  <sheetData>
    <row r="1" spans="1:9" ht="24" customHeight="1" x14ac:dyDescent="0.2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21" t="s">
        <v>8387</v>
      </c>
      <c r="I1" s="18"/>
    </row>
    <row r="2" spans="1:9" ht="24" customHeight="1" x14ac:dyDescent="0.2">
      <c r="A2" s="18" t="s">
        <v>8388</v>
      </c>
      <c r="B2">
        <f>COUNTIFS(Kickstarter!F:F,"successful",Kickstarter!$D:$D,"&lt;1000",Kickstarter!R:R,"plays")</f>
        <v>141</v>
      </c>
      <c r="C2">
        <f>COUNTIFS(Kickstarter!F:F,"failed",$D:$D,"&lt;1000",Kickstarter!R:R,"plays")</f>
        <v>0</v>
      </c>
      <c r="D2">
        <f>COUNTIFS(Kickstarter!F:F,"canceled",$D:$D,"&lt;1000",Kickstarter!R:R,"plays")</f>
        <v>0</v>
      </c>
      <c r="E2">
        <f>SUM(B2:D2)</f>
        <v>141</v>
      </c>
      <c r="F2" s="20">
        <f>SUM(B2/E2)</f>
        <v>1</v>
      </c>
      <c r="G2" s="20">
        <f>SUM(C2/E2)</f>
        <v>0</v>
      </c>
      <c r="H2" s="19">
        <f>SUM(D2/E2)</f>
        <v>0</v>
      </c>
    </row>
    <row r="3" spans="1:9" ht="24" customHeight="1" x14ac:dyDescent="0.2">
      <c r="A3" s="18" t="s">
        <v>8389</v>
      </c>
      <c r="B3">
        <f>COUNTIFS(Kickstarter!F:F,"successful",Kickstarter!$D:$D,"&gt;=1000",Kickstarter!$D:$D,"&lt;=4999",Kickstarter!R:R,"plays")</f>
        <v>388</v>
      </c>
      <c r="C3">
        <f>COUNTIFS(Kickstarter!F:F,"failed",Kickstarter!$D:$D,"&gt;=1000",Kickstarter!$D:$D,"&lt;=4999",Kickstarter!R:R,"plays")</f>
        <v>146</v>
      </c>
      <c r="D3">
        <f>COUNTIFS(Kickstarter!F:F,"canceled",Kickstarter!$D:$D,"&gt;=1000",Kickstarter!$D:$D,"&lt;=4999",Kickstarter!R:R,"plays")</f>
        <v>0</v>
      </c>
      <c r="E3">
        <f>SUM(B3:D3)</f>
        <v>534</v>
      </c>
      <c r="F3" s="20">
        <f t="shared" ref="F3:F13" si="0">SUM(B3/E3)</f>
        <v>0.72659176029962547</v>
      </c>
      <c r="G3" s="20">
        <f t="shared" ref="G3:G13" si="1">SUM(C3/E3)</f>
        <v>0.27340823970037453</v>
      </c>
      <c r="H3" s="19">
        <f t="shared" ref="H3:H13" si="2">SUM(D3/E3)</f>
        <v>0</v>
      </c>
    </row>
    <row r="4" spans="1:9" ht="24" customHeight="1" x14ac:dyDescent="0.2">
      <c r="A4" s="18" t="s">
        <v>8390</v>
      </c>
      <c r="B4">
        <f>COUNTIFS(Kickstarter!F:F,"successful",Kickstarter!$D:$D,"&gt;=5000",Kickstarter!$D:$D,"&lt;=9999",Kickstarter!R:R,"plays")</f>
        <v>93</v>
      </c>
      <c r="C4">
        <f>COUNTIFS(Kickstarter!F:F,"failed",Kickstarter!$D:$D,"&gt;=5000",Kickstarter!$D:$D,"&lt;=9999",Kickstarter!R:R,"plays")</f>
        <v>76</v>
      </c>
      <c r="D4">
        <f>COUNTIFS(Kickstarter!F:F,"canceled",Kickstarter!$D:$D,"&gt;=5000",Kickstarter!$D:$D,"&lt;=9999",Kickstarter!R:R,"plays")</f>
        <v>0</v>
      </c>
      <c r="E4">
        <f t="shared" ref="E4:E13" si="3">SUM(B4:D4)</f>
        <v>169</v>
      </c>
      <c r="F4" s="20">
        <f t="shared" si="0"/>
        <v>0.55029585798816572</v>
      </c>
      <c r="G4" s="20">
        <f t="shared" si="1"/>
        <v>0.44970414201183434</v>
      </c>
      <c r="H4" s="19">
        <f t="shared" si="2"/>
        <v>0</v>
      </c>
    </row>
    <row r="5" spans="1:9" ht="24" customHeight="1" x14ac:dyDescent="0.2">
      <c r="A5" s="18" t="s">
        <v>8391</v>
      </c>
      <c r="B5">
        <f>COUNTIFS(Kickstarter!F:F,"successful",Kickstarter!$D:$D,"&gt;=10000",Kickstarter!$D:$D,"&lt;=14999",Kickstarter!R:R,"plays")</f>
        <v>39</v>
      </c>
      <c r="C5">
        <f>COUNTIFS(Kickstarter!F:F,"failed",Kickstarter!$D:$D,"&gt;=10000",Kickstarter!$D:$D,"&lt;=14999",Kickstarter!R:R,"plays")</f>
        <v>33</v>
      </c>
      <c r="D5">
        <f>COUNTIFS(Kickstarter!F:F,"canceled",Kickstarter!$D:$D,"&gt;=10000",Kickstarter!$D:$D,"&lt;=14999",Kickstarter!R:R,"plays")</f>
        <v>0</v>
      </c>
      <c r="E5">
        <f t="shared" si="3"/>
        <v>72</v>
      </c>
      <c r="F5" s="20">
        <f t="shared" si="0"/>
        <v>0.54166666666666663</v>
      </c>
      <c r="G5" s="20">
        <f t="shared" si="1"/>
        <v>0.45833333333333331</v>
      </c>
      <c r="H5" s="19">
        <f t="shared" si="2"/>
        <v>0</v>
      </c>
    </row>
    <row r="6" spans="1:9" ht="24" customHeight="1" x14ac:dyDescent="0.2">
      <c r="A6" s="18" t="s">
        <v>8392</v>
      </c>
      <c r="B6">
        <f>COUNTIFS(Kickstarter!F:F,"successful",Kickstarter!$D:$D,"&gt;=15000",Kickstarter!$D:$D,"&lt;=19999",Kickstarter!R:R,"plays")</f>
        <v>12</v>
      </c>
      <c r="C6">
        <f>COUNTIFS(Kickstarter!F:F,"failed",Kickstarter!$D:$D,"&gt;=15000",Kickstarter!$D:$D,"&lt;=19999",Kickstarter!R:R,"plays")</f>
        <v>12</v>
      </c>
      <c r="D6">
        <f>COUNTIFS(Kickstarter!F:F,"canceled",Kickstarter!$D:$D,"&gt;=15000",Kickstarter!$D:$D,"&lt;=19999",Kickstarter!R:R,"plays")</f>
        <v>0</v>
      </c>
      <c r="E6">
        <f t="shared" si="3"/>
        <v>24</v>
      </c>
      <c r="F6" s="20">
        <f t="shared" si="0"/>
        <v>0.5</v>
      </c>
      <c r="G6" s="20">
        <f t="shared" si="1"/>
        <v>0.5</v>
      </c>
      <c r="H6" s="19">
        <f t="shared" si="2"/>
        <v>0</v>
      </c>
    </row>
    <row r="7" spans="1:9" ht="24" customHeight="1" x14ac:dyDescent="0.2">
      <c r="A7" s="18" t="s">
        <v>8393</v>
      </c>
      <c r="B7">
        <f>COUNTIFS(Kickstarter!F:F,"successful",Kickstarter!$D:$D,"&gt;=20000",Kickstarter!$D:$D,"&lt;=24999",Kickstarter!R:R,"plays")</f>
        <v>9</v>
      </c>
      <c r="C7">
        <f>COUNTIFS(Kickstarter!F:F,"failed",Kickstarter!$D:$D,"&gt;=20000",Kickstarter!$D:$D,"&lt;=24999",Kickstarter!R:R,"plays")</f>
        <v>11</v>
      </c>
      <c r="D7">
        <f>COUNTIFS(Kickstarter!F:F,"canceled",Kickstarter!$D:$D,"&gt;=20000",Kickstarter!$D:$D,"&lt;=24999",Kickstarter!R:R,"plays")</f>
        <v>0</v>
      </c>
      <c r="E7">
        <f t="shared" si="3"/>
        <v>20</v>
      </c>
      <c r="F7" s="20">
        <f t="shared" si="0"/>
        <v>0.45</v>
      </c>
      <c r="G7" s="20">
        <f t="shared" si="1"/>
        <v>0.55000000000000004</v>
      </c>
      <c r="H7" s="19">
        <f t="shared" si="2"/>
        <v>0</v>
      </c>
    </row>
    <row r="8" spans="1:9" ht="24" customHeight="1" x14ac:dyDescent="0.2">
      <c r="A8" s="18" t="s">
        <v>8394</v>
      </c>
      <c r="B8">
        <f>COUNTIFS(Kickstarter!F:F,"successful",Kickstarter!$D:$D,"&gt;=25000",Kickstarter!$D:$D,"&lt;=29999",Kickstarter!R:R,"plays")</f>
        <v>1</v>
      </c>
      <c r="C8">
        <f>COUNTIFS(Kickstarter!F:F,"failed",Kickstarter!$D:$D,"&gt;=25000",Kickstarter!$D:$D,"&lt;=29999",Kickstarter!R:R,"plays")</f>
        <v>4</v>
      </c>
      <c r="D8">
        <f>COUNTIFS(Kickstarter!F:F,"canceled",Kickstarter!$D:$D,"&gt;=25000",Kickstarter!$D:$D,"&lt;=29999",Kickstarter!R:R,"plays")</f>
        <v>0</v>
      </c>
      <c r="E8">
        <f t="shared" si="3"/>
        <v>5</v>
      </c>
      <c r="F8" s="20">
        <f t="shared" si="0"/>
        <v>0.2</v>
      </c>
      <c r="G8" s="20">
        <f t="shared" si="1"/>
        <v>0.8</v>
      </c>
      <c r="H8" s="19">
        <f t="shared" si="2"/>
        <v>0</v>
      </c>
    </row>
    <row r="9" spans="1:9" ht="24" customHeight="1" x14ac:dyDescent="0.2">
      <c r="A9" s="18" t="s">
        <v>8395</v>
      </c>
      <c r="B9">
        <f>COUNTIFS(Kickstarter!F:F,"successful",Kickstarter!$D:$D,"&gt;=30000",Kickstarter!$D:$D,"&lt;=34999",Kickstarter!R:R,"plays")</f>
        <v>3</v>
      </c>
      <c r="C9">
        <f>COUNTIFS(Kickstarter!F:F,"failed",Kickstarter!$D:$D,"&gt;=30000",Kickstarter!$D:$D,"&lt;=34999",Kickstarter!R:R,"plays")</f>
        <v>8</v>
      </c>
      <c r="D9">
        <f>COUNTIFS(Kickstarter!F:F,"canceled",Kickstarter!$D:$D,"&gt;=30000",Kickstarter!$D:$D,"&lt;=34999",Kickstarter!R:R,"plays")</f>
        <v>0</v>
      </c>
      <c r="E9">
        <f t="shared" si="3"/>
        <v>11</v>
      </c>
      <c r="F9" s="20">
        <f t="shared" si="0"/>
        <v>0.27272727272727271</v>
      </c>
      <c r="G9" s="20">
        <f t="shared" si="1"/>
        <v>0.72727272727272729</v>
      </c>
      <c r="H9" s="19">
        <f t="shared" si="2"/>
        <v>0</v>
      </c>
    </row>
    <row r="10" spans="1:9" ht="24" customHeight="1" x14ac:dyDescent="0.2">
      <c r="A10" s="18" t="s">
        <v>8396</v>
      </c>
      <c r="B10">
        <f>COUNTIFS(Kickstarter!F:F,"successful",Kickstarter!$D:$D,"&gt;=35000",Kickstarter!$D:$D,"&lt;=39999",Kickstarter!R:R,"plays")</f>
        <v>4</v>
      </c>
      <c r="C10">
        <f>COUNTIFS(Kickstarter!F:F,"failed",Kickstarter!$D:$D,"&gt;=35000",Kickstarter!$D:$D,"&lt;=39999",Kickstarter!R:R,"plays")</f>
        <v>2</v>
      </c>
      <c r="D10">
        <f>COUNTIFS(Kickstarter!F:F,"canceled",Kickstarter!$D:$D,"&gt;=35000",Kickstarter!$D:$D,"&lt;=39999",Kickstarter!R:R,"plays")</f>
        <v>0</v>
      </c>
      <c r="E10">
        <f t="shared" si="3"/>
        <v>6</v>
      </c>
      <c r="F10" s="20">
        <f t="shared" si="0"/>
        <v>0.66666666666666663</v>
      </c>
      <c r="G10" s="20">
        <f t="shared" si="1"/>
        <v>0.33333333333333331</v>
      </c>
      <c r="H10" s="19">
        <f t="shared" si="2"/>
        <v>0</v>
      </c>
    </row>
    <row r="11" spans="1:9" ht="24" customHeight="1" x14ac:dyDescent="0.2">
      <c r="A11" s="18" t="s">
        <v>8397</v>
      </c>
      <c r="B11">
        <f>COUNTIFS(Kickstarter!F:F,"successful",Kickstarter!$D:$D,"&gt;=40000",Kickstarter!$D:$D,"&lt;=44999",Kickstarter!R:R,"plays")</f>
        <v>2</v>
      </c>
      <c r="C11">
        <f>COUNTIFS(Kickstarter!F:F,"failed",Kickstarter!$D:$D,"&gt;=40000",Kickstarter!$D:$D,"&lt;=44999",Kickstarter!R:R,"plays")</f>
        <v>1</v>
      </c>
      <c r="D11">
        <f>COUNTIFS(Kickstarter!F:F,"canceled",Kickstarter!$D:$D,"&gt;=40000",Kickstarter!$D:$D,"&lt;=44999",Kickstarter!R:R,"plays")</f>
        <v>0</v>
      </c>
      <c r="E11">
        <f t="shared" si="3"/>
        <v>3</v>
      </c>
      <c r="F11" s="20">
        <f t="shared" si="0"/>
        <v>0.66666666666666663</v>
      </c>
      <c r="G11" s="20">
        <f t="shared" si="1"/>
        <v>0.33333333333333331</v>
      </c>
      <c r="H11" s="19">
        <f t="shared" si="2"/>
        <v>0</v>
      </c>
    </row>
    <row r="12" spans="1:9" ht="24" customHeight="1" x14ac:dyDescent="0.2">
      <c r="A12" s="18" t="s">
        <v>8398</v>
      </c>
      <c r="B12">
        <f>COUNTIFS(Kickstarter!F:F,"successful",Kickstarter!$D:$D,"&gt;=45000",Kickstarter!$D:$D,"&lt;=49999",Kickstarter!R:R,"plays")</f>
        <v>0</v>
      </c>
      <c r="C12">
        <f>COUNTIFS(Kickstarter!F:F,"failed",Kickstarter!$D:$D,"&gt;=45000",Kickstarter!$D:$D,"&lt;=49999",Kickstarter!R:R,"plays")</f>
        <v>1</v>
      </c>
      <c r="D12">
        <f>COUNTIFS(Kickstarter!F:F,"canceled",Kickstarter!$D:$D,"&gt;=45000",Kickstarter!$D:$D,"&lt;=49999",Kickstarter!R:R,"plays")</f>
        <v>0</v>
      </c>
      <c r="E12">
        <f t="shared" si="3"/>
        <v>1</v>
      </c>
      <c r="F12" s="20">
        <f t="shared" si="0"/>
        <v>0</v>
      </c>
      <c r="G12" s="20">
        <f t="shared" si="1"/>
        <v>1</v>
      </c>
      <c r="H12" s="19">
        <f t="shared" si="2"/>
        <v>0</v>
      </c>
    </row>
    <row r="13" spans="1:9" ht="24" customHeight="1" x14ac:dyDescent="0.2">
      <c r="A13" s="18" t="s">
        <v>8399</v>
      </c>
      <c r="B13">
        <f>COUNTIFS(Kickstarter!F:F,"successful",Kickstarter!$D:$D,"&gt;=50000",Kickstarter!R:R,"plays")</f>
        <v>2</v>
      </c>
      <c r="C13">
        <f>COUNTIFS(Kickstarter!F:F,"failed",Kickstarter!$D:$D,"&gt;=50000",Kickstarter!R:R,"plays")</f>
        <v>14</v>
      </c>
      <c r="D13">
        <f>COUNTIFS(Kickstarter!F:F,"canceled",Kickstarter!$D:$D,"&gt;=50000",Kickstarter!R:R,"plays")</f>
        <v>0</v>
      </c>
      <c r="E13">
        <f t="shared" si="3"/>
        <v>16</v>
      </c>
      <c r="F13" s="20">
        <f t="shared" si="0"/>
        <v>0.125</v>
      </c>
      <c r="G13" s="20">
        <f t="shared" si="1"/>
        <v>0.875</v>
      </c>
      <c r="H13" s="19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topLeftCell="B1" zoomScale="125" zoomScaleNormal="125" workbookViewId="0">
      <selection activeCell="G4115" sqref="G411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bestFit="1" customWidth="1"/>
    <col min="17" max="17" width="41.1640625" customWidth="1"/>
    <col min="18" max="18" width="14.5" bestFit="1" customWidth="1"/>
    <col min="19" max="19" width="20.83203125" style="16" bestFit="1" customWidth="1"/>
    <col min="20" max="20" width="19.664062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5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74F3B-C05C-174F-B4FB-FF08D8A8BED9}">
  <sheetPr codeName="Sheet4"/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8218B-3B43-3C49-A2EB-3049FA014251}">
  <sheetPr codeName="Sheet5"/>
  <dimension ref="A1:E7"/>
  <sheetViews>
    <sheetView topLeftCell="A4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AFB63-F693-3449-8CF0-DAC73218858D}">
  <sheetPr codeName="Sheet6"/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 k</cp:lastModifiedBy>
  <dcterms:created xsi:type="dcterms:W3CDTF">2017-04-20T15:17:24Z</dcterms:created>
  <dcterms:modified xsi:type="dcterms:W3CDTF">2022-10-27T22:27:27Z</dcterms:modified>
</cp:coreProperties>
</file>